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15" yWindow="735" windowWidth="19155" windowHeight="8505" activeTab="2"/>
  </bookViews>
  <sheets>
    <sheet name="IG.FFI" sheetId="1" r:id="rId1"/>
    <sheet name="AM.FFI" sheetId="2" r:id="rId2"/>
    <sheet name="AM.NŐI" sheetId="3" r:id="rId3"/>
    <sheet name="EGYÉNI" sheetId="4" r:id="rId4"/>
    <sheet name="PÁROS" sheetId="5" r:id="rId5"/>
  </sheets>
  <calcPr calcId="125725"/>
</workbook>
</file>

<file path=xl/calcChain.xml><?xml version="1.0" encoding="utf-8"?>
<calcChain xmlns="http://schemas.openxmlformats.org/spreadsheetml/2006/main">
  <c r="E24" i="3"/>
  <c r="F24"/>
  <c r="G24"/>
  <c r="H24"/>
  <c r="D24"/>
  <c r="E29" i="2"/>
  <c r="F29"/>
  <c r="G29"/>
  <c r="H29"/>
  <c r="D29"/>
  <c r="E48" i="1"/>
  <c r="F48"/>
  <c r="G48"/>
  <c r="H48"/>
  <c r="D48"/>
  <c r="E11" i="3"/>
  <c r="D11"/>
  <c r="H11" s="1"/>
  <c r="E10"/>
  <c r="D10"/>
  <c r="E6" i="1"/>
  <c r="D6"/>
  <c r="E7"/>
  <c r="D7"/>
  <c r="H7" s="1"/>
  <c r="E39"/>
  <c r="D39"/>
  <c r="H39" s="1"/>
  <c r="E38"/>
  <c r="D38"/>
  <c r="E31"/>
  <c r="D31"/>
  <c r="E30"/>
  <c r="D30"/>
  <c r="H30" s="1"/>
  <c r="E29"/>
  <c r="D29"/>
  <c r="H29" s="1"/>
  <c r="E28"/>
  <c r="D28"/>
  <c r="H28" s="1"/>
  <c r="E36"/>
  <c r="D36"/>
  <c r="H36" s="1"/>
  <c r="E37"/>
  <c r="D37"/>
  <c r="E15"/>
  <c r="D15"/>
  <c r="H15" s="1"/>
  <c r="E14"/>
  <c r="D14"/>
  <c r="H14" s="1"/>
  <c r="E19"/>
  <c r="D19"/>
  <c r="E18"/>
  <c r="D18"/>
  <c r="H38"/>
  <c r="E17"/>
  <c r="D17"/>
  <c r="E13"/>
  <c r="H13" s="1"/>
  <c r="D13"/>
  <c r="E12"/>
  <c r="D12"/>
  <c r="E16"/>
  <c r="H16" s="1"/>
  <c r="D16"/>
  <c r="H12"/>
  <c r="H19"/>
  <c r="K13" i="2"/>
  <c r="K17"/>
  <c r="E18"/>
  <c r="D18"/>
  <c r="H18" s="1"/>
  <c r="E19"/>
  <c r="D19"/>
  <c r="E17"/>
  <c r="D17"/>
  <c r="E16"/>
  <c r="D16"/>
  <c r="E32" i="1"/>
  <c r="D32"/>
  <c r="H32" s="1"/>
  <c r="E35"/>
  <c r="D35"/>
  <c r="H35" s="1"/>
  <c r="E33"/>
  <c r="D33"/>
  <c r="H33" s="1"/>
  <c r="E34"/>
  <c r="D34"/>
  <c r="H16" i="2"/>
  <c r="H17"/>
  <c r="H19"/>
  <c r="E26"/>
  <c r="D26"/>
  <c r="H26" s="1"/>
  <c r="E27"/>
  <c r="D27"/>
  <c r="H27" s="1"/>
  <c r="E9" i="3"/>
  <c r="D9"/>
  <c r="H9" s="1"/>
  <c r="E8"/>
  <c r="D8"/>
  <c r="E46" i="1"/>
  <c r="D46"/>
  <c r="E45"/>
  <c r="D45"/>
  <c r="H6"/>
  <c r="E23"/>
  <c r="D23"/>
  <c r="E21"/>
  <c r="D21"/>
  <c r="E22"/>
  <c r="D22"/>
  <c r="E20"/>
  <c r="D20"/>
  <c r="E25"/>
  <c r="D25"/>
  <c r="E27"/>
  <c r="D27"/>
  <c r="E24"/>
  <c r="D24"/>
  <c r="E26"/>
  <c r="D26"/>
  <c r="H26" s="1"/>
  <c r="E21" i="2"/>
  <c r="D21"/>
  <c r="H21" s="1"/>
  <c r="E20"/>
  <c r="D20"/>
  <c r="E23"/>
  <c r="D23"/>
  <c r="E22"/>
  <c r="D22"/>
  <c r="H22" s="1"/>
  <c r="E22" i="3"/>
  <c r="D22"/>
  <c r="E6" i="2"/>
  <c r="D6"/>
  <c r="H6" s="1"/>
  <c r="E4"/>
  <c r="D4"/>
  <c r="H4" s="1"/>
  <c r="E7"/>
  <c r="D7"/>
  <c r="E5"/>
  <c r="D5"/>
  <c r="E15" i="3"/>
  <c r="D15"/>
  <c r="E13"/>
  <c r="D13"/>
  <c r="H13" s="1"/>
  <c r="E14"/>
  <c r="D14"/>
  <c r="H14" s="1"/>
  <c r="E12"/>
  <c r="D12"/>
  <c r="H12" s="1"/>
  <c r="E24" i="2"/>
  <c r="H24" s="1"/>
  <c r="D24"/>
  <c r="E18" i="3"/>
  <c r="D18"/>
  <c r="H18" s="1"/>
  <c r="E17"/>
  <c r="D17"/>
  <c r="E9" i="1"/>
  <c r="D9"/>
  <c r="E8"/>
  <c r="D8"/>
  <c r="E4"/>
  <c r="D4"/>
  <c r="E5"/>
  <c r="D5"/>
  <c r="E11"/>
  <c r="D11"/>
  <c r="E10"/>
  <c r="D10"/>
  <c r="E6" i="3"/>
  <c r="D6"/>
  <c r="H6" s="1"/>
  <c r="E4"/>
  <c r="D4"/>
  <c r="E5"/>
  <c r="D5"/>
  <c r="E7"/>
  <c r="D7"/>
  <c r="H7" s="1"/>
  <c r="E12" i="2"/>
  <c r="H12" s="1"/>
  <c r="E13"/>
  <c r="D13"/>
  <c r="E15"/>
  <c r="D15"/>
  <c r="H15" s="1"/>
  <c r="E14"/>
  <c r="H14" s="1"/>
  <c r="D14"/>
  <c r="D12"/>
  <c r="E10"/>
  <c r="D10"/>
  <c r="E11"/>
  <c r="D11"/>
  <c r="H11" s="1"/>
  <c r="E8"/>
  <c r="D8"/>
  <c r="E9"/>
  <c r="D9"/>
  <c r="E43" i="1"/>
  <c r="D43"/>
  <c r="E42"/>
  <c r="D42"/>
  <c r="E41"/>
  <c r="D41"/>
  <c r="H20" i="3"/>
  <c r="H10"/>
  <c r="H8"/>
  <c r="H22"/>
  <c r="H17"/>
  <c r="H15"/>
  <c r="H5"/>
  <c r="H23" i="2"/>
  <c r="H20"/>
  <c r="H7"/>
  <c r="H5"/>
  <c r="H10"/>
  <c r="H8"/>
  <c r="I10" i="3" l="1"/>
  <c r="H8" i="1"/>
  <c r="H17"/>
  <c r="H37"/>
  <c r="I38"/>
  <c r="H31"/>
  <c r="I30" s="1"/>
  <c r="I28"/>
  <c r="I36"/>
  <c r="I14"/>
  <c r="H18"/>
  <c r="I18" s="1"/>
  <c r="I16"/>
  <c r="I12"/>
  <c r="I18" i="2"/>
  <c r="I16"/>
  <c r="H42" i="1"/>
  <c r="H5"/>
  <c r="H24"/>
  <c r="H43"/>
  <c r="H10"/>
  <c r="H25"/>
  <c r="H20"/>
  <c r="H22"/>
  <c r="H21"/>
  <c r="I6"/>
  <c r="H34"/>
  <c r="I34" s="1"/>
  <c r="H41"/>
  <c r="H11"/>
  <c r="H4"/>
  <c r="H9"/>
  <c r="H23"/>
  <c r="I22" s="1"/>
  <c r="H45"/>
  <c r="H46"/>
  <c r="I32"/>
  <c r="I26" i="2"/>
  <c r="I8" i="3"/>
  <c r="J8" s="1"/>
  <c r="H27" i="1"/>
  <c r="I26" s="1"/>
  <c r="I20" i="2"/>
  <c r="I22"/>
  <c r="J20"/>
  <c r="I6"/>
  <c r="I4"/>
  <c r="I14" i="3"/>
  <c r="I12"/>
  <c r="J12" s="1"/>
  <c r="I24" i="2"/>
  <c r="I17" i="3"/>
  <c r="I4" i="1"/>
  <c r="H4" i="3"/>
  <c r="I4" s="1"/>
  <c r="I6"/>
  <c r="H13" i="2"/>
  <c r="I12" s="1"/>
  <c r="I14"/>
  <c r="I10"/>
  <c r="H9"/>
  <c r="I8"/>
  <c r="J8" s="1"/>
  <c r="I43" i="1"/>
  <c r="I8" l="1"/>
  <c r="I24"/>
  <c r="J24"/>
  <c r="I41"/>
  <c r="J41" s="1"/>
  <c r="J12"/>
  <c r="J36"/>
  <c r="J28"/>
  <c r="J4"/>
  <c r="J16"/>
  <c r="J16" i="2"/>
  <c r="J32" i="1"/>
  <c r="I20"/>
  <c r="I10"/>
  <c r="J8" s="1"/>
  <c r="J20"/>
  <c r="I45"/>
  <c r="J12" i="2"/>
  <c r="J4"/>
  <c r="J4" i="3"/>
</calcChain>
</file>

<file path=xl/sharedStrings.xml><?xml version="1.0" encoding="utf-8"?>
<sst xmlns="http://schemas.openxmlformats.org/spreadsheetml/2006/main" count="628" uniqueCount="146">
  <si>
    <t>1.</t>
  </si>
  <si>
    <t>név</t>
  </si>
  <si>
    <t>egyesület</t>
  </si>
  <si>
    <t>Egri Széchenyi</t>
  </si>
  <si>
    <t>teli</t>
  </si>
  <si>
    <t>tarolás</t>
  </si>
  <si>
    <t>üres</t>
  </si>
  <si>
    <t>IGAZOLT</t>
  </si>
  <si>
    <t>FÉRFI</t>
  </si>
  <si>
    <t>VILATI KUPA 2015</t>
  </si>
  <si>
    <t>2.</t>
  </si>
  <si>
    <t>3.</t>
  </si>
  <si>
    <t>4.</t>
  </si>
  <si>
    <t>5.</t>
  </si>
  <si>
    <t>6.</t>
  </si>
  <si>
    <t>AMATŐR</t>
  </si>
  <si>
    <t>NŐI</t>
  </si>
  <si>
    <t>Bakos József</t>
  </si>
  <si>
    <t>Komáromi Roland</t>
  </si>
  <si>
    <t>Mester József</t>
  </si>
  <si>
    <t>VILATI Eger SE</t>
  </si>
  <si>
    <t>Erőmű Gyöngyös</t>
  </si>
  <si>
    <t>Golyószórók</t>
  </si>
  <si>
    <t>Szabó Géza</t>
  </si>
  <si>
    <t>Bárdos László</t>
  </si>
  <si>
    <t>Lukács Zoltán</t>
  </si>
  <si>
    <t>Tóth László</t>
  </si>
  <si>
    <t>Berta Dániel</t>
  </si>
  <si>
    <t>Ökrös Imre</t>
  </si>
  <si>
    <t>Nagy Árpád</t>
  </si>
  <si>
    <t>Fábián-Berta</t>
  </si>
  <si>
    <t>Csorba Enikő</t>
  </si>
  <si>
    <t>Szeri Zsuzsanna</t>
  </si>
  <si>
    <t>Ácsné Monori Mária</t>
  </si>
  <si>
    <t>Fehér Mihályné</t>
  </si>
  <si>
    <t>Tamasi Antal</t>
  </si>
  <si>
    <t>Gembiczky Gyula</t>
  </si>
  <si>
    <t>Tamasi Balázs</t>
  </si>
  <si>
    <t>Mayer Árpád</t>
  </si>
  <si>
    <t>Tóth Balázs</t>
  </si>
  <si>
    <t>Gembiczky Dávid</t>
  </si>
  <si>
    <t>Tamás Erzsébet</t>
  </si>
  <si>
    <t>Bérces Zsuzsanna</t>
  </si>
  <si>
    <t>Berkes Zsuzsanna</t>
  </si>
  <si>
    <t>Sztanóné Körösztös L.</t>
  </si>
  <si>
    <t>PAKS</t>
  </si>
  <si>
    <t>Sósné Bognár Erika</t>
  </si>
  <si>
    <t>Czira Ildikó</t>
  </si>
  <si>
    <t>Fanyűvők</t>
  </si>
  <si>
    <t>Sós István</t>
  </si>
  <si>
    <t>Nagy Gábor</t>
  </si>
  <si>
    <t>Égner Attila</t>
  </si>
  <si>
    <t>Szalai János</t>
  </si>
  <si>
    <t>Hercegfalvi József</t>
  </si>
  <si>
    <t>Berkes Ferenc</t>
  </si>
  <si>
    <t>Herman Zoltánné</t>
  </si>
  <si>
    <t>Suplicz Sándor</t>
  </si>
  <si>
    <t>Fenes László</t>
  </si>
  <si>
    <t>Tóth András</t>
  </si>
  <si>
    <t>Szőke Tamás</t>
  </si>
  <si>
    <t>Sipos Csaba</t>
  </si>
  <si>
    <t>Nagy Imre</t>
  </si>
  <si>
    <t>Bakos Gyula</t>
  </si>
  <si>
    <t>BTK II.</t>
  </si>
  <si>
    <t>Kecskés Kálmán</t>
  </si>
  <si>
    <t>Márton Ferenc</t>
  </si>
  <si>
    <t>Horváth János</t>
  </si>
  <si>
    <t>Sáfár Zoltán</t>
  </si>
  <si>
    <t>BTK I.</t>
  </si>
  <si>
    <t>EGYÉNI</t>
  </si>
  <si>
    <t>IG.FFI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</si>
  <si>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</si>
  <si>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</si>
  <si>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</si>
  <si>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</si>
  <si>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</si>
  <si>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</si>
  <si>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</si>
  <si>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</si>
  <si>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</si>
  <si>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</si>
  <si>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</si>
  <si>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</si>
  <si>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</si>
  <si>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</si>
  <si>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AM. FFI</t>
  </si>
  <si>
    <t>AM. NŐI</t>
  </si>
  <si>
    <t>PÁROS</t>
  </si>
  <si>
    <t>Molnár László</t>
  </si>
  <si>
    <t>Barna Attila</t>
  </si>
  <si>
    <t>Bádonyi Zsolt</t>
  </si>
  <si>
    <t>Hudák Bianka</t>
  </si>
  <si>
    <t>Tóth Andrea</t>
  </si>
  <si>
    <t>Sajóbábony</t>
  </si>
  <si>
    <t>Ács Péter</t>
  </si>
  <si>
    <t>Kavalecz Tibor</t>
  </si>
  <si>
    <t>Angyal Károly</t>
  </si>
  <si>
    <t>Zvolenszki László</t>
  </si>
  <si>
    <t>Debrecen</t>
  </si>
  <si>
    <t>Balogh Mária</t>
  </si>
  <si>
    <t>Oláh Sándor</t>
  </si>
  <si>
    <t>Bernáth Pál</t>
  </si>
  <si>
    <t>Szilágyi Imre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</si>
  <si>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</si>
  <si>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</si>
  <si>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</si>
  <si>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</si>
  <si>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</si>
  <si>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</si>
  <si>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</si>
  <si>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</si>
  <si>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</si>
  <si>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</si>
  <si>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</si>
  <si>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</si>
  <si>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Kazincbarcika</t>
  </si>
  <si>
    <t>Csontos Ádám</t>
  </si>
  <si>
    <t>Vincze Zoltán</t>
  </si>
  <si>
    <t>Martinkó Miklós</t>
  </si>
  <si>
    <t>Csínyi Gábor</t>
  </si>
  <si>
    <t>Orosz István</t>
  </si>
  <si>
    <t>Szoboszlai István</t>
  </si>
  <si>
    <t>Zsiros Péter</t>
  </si>
  <si>
    <t>Zsiros Olivér</t>
  </si>
  <si>
    <t xml:space="preserve">BTK I.     </t>
  </si>
  <si>
    <t xml:space="preserve">Sajóbábony </t>
  </si>
  <si>
    <t>Tiszakécske</t>
  </si>
  <si>
    <t>Salgótarján</t>
  </si>
  <si>
    <t>Balázs Péter</t>
  </si>
  <si>
    <t>Telek Tamás</t>
  </si>
  <si>
    <t>Fancsik István</t>
  </si>
  <si>
    <t>Molnár György</t>
  </si>
  <si>
    <t>Kokavecz Ferenc</t>
  </si>
  <si>
    <t>Miklós József</t>
  </si>
  <si>
    <t>Kis Viktor</t>
  </si>
  <si>
    <t>Kokavecz Dávid</t>
  </si>
  <si>
    <t>33.</t>
  </si>
  <si>
    <t>34.</t>
  </si>
  <si>
    <t>35.</t>
  </si>
  <si>
    <t>36.</t>
  </si>
  <si>
    <t>37.</t>
  </si>
  <si>
    <t>38.</t>
  </si>
  <si>
    <t>39.</t>
  </si>
  <si>
    <t>Pálfy Andrea</t>
  </si>
  <si>
    <t>Pócs Karola</t>
  </si>
  <si>
    <t>átlag: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</si>
</sst>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4"/>
      <color rgb="FF0070C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u/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opLeftCell="A23" zoomScaleNormal="100" workbookViewId="0">
      <selection activeCell="C48" sqref="C48"/>
    </sheetView>
  </sheetViews>
  <sheetFormatPr defaultRowHeight="15.75"/>
  <cols>
    <col min="1" max="1" width="2.42578125" style="2" customWidth="1"/>
    <col min="2" max="2" width="23" customWidth="1"/>
    <col min="3" max="3" width="15.28515625" customWidth="1"/>
    <col min="4" max="4" width="5.42578125" style="8" customWidth="1"/>
    <col min="5" max="5" width="7" style="8" customWidth="1"/>
    <col min="6" max="6" width="4.85546875" style="8" customWidth="1"/>
    <col min="7" max="7" width="3.5703125" style="8" customWidth="1"/>
    <col min="8" max="8" width="5.7109375" style="54" customWidth="1"/>
    <col min="9" max="9" width="7.140625" customWidth="1"/>
    <col min="10" max="10" width="7.85546875" customWidth="1"/>
  </cols>
  <sheetData>
    <row r="1" spans="1:10" ht="18.75">
      <c r="B1" s="10" t="s">
        <v>9</v>
      </c>
      <c r="E1" s="11" t="s">
        <v>7</v>
      </c>
      <c r="F1" s="7"/>
      <c r="G1" s="7"/>
      <c r="H1" s="53" t="s">
        <v>8</v>
      </c>
    </row>
    <row r="2" spans="1:10" ht="3" customHeight="1"/>
    <row r="3" spans="1:10">
      <c r="B3" s="1" t="s">
        <v>1</v>
      </c>
      <c r="C3" s="1" t="s">
        <v>2</v>
      </c>
      <c r="D3" s="1" t="s">
        <v>4</v>
      </c>
      <c r="E3" s="1" t="s">
        <v>5</v>
      </c>
      <c r="F3" s="1" t="s">
        <v>6</v>
      </c>
      <c r="G3" s="1">
        <v>9</v>
      </c>
    </row>
    <row r="4" spans="1:10">
      <c r="A4" s="31" t="s">
        <v>0</v>
      </c>
      <c r="B4" s="32" t="s">
        <v>35</v>
      </c>
      <c r="C4" s="32" t="s">
        <v>20</v>
      </c>
      <c r="D4" s="33">
        <f>94+93+99+85</f>
        <v>371</v>
      </c>
      <c r="E4" s="33">
        <f>45+45+54+26</f>
        <v>170</v>
      </c>
      <c r="F4" s="33">
        <v>3</v>
      </c>
      <c r="G4" s="34">
        <v>12</v>
      </c>
      <c r="H4" s="55">
        <f>+D4+E4</f>
        <v>541</v>
      </c>
      <c r="I4" s="35">
        <f>+H4+H5</f>
        <v>1102</v>
      </c>
      <c r="J4" s="36">
        <f>+I4+I6</f>
        <v>2250</v>
      </c>
    </row>
    <row r="5" spans="1:10">
      <c r="A5" s="31"/>
      <c r="B5" s="32" t="s">
        <v>37</v>
      </c>
      <c r="C5" s="32" t="s">
        <v>20</v>
      </c>
      <c r="D5" s="33">
        <f>99+91+95+84</f>
        <v>369</v>
      </c>
      <c r="E5" s="33">
        <f>61+52+44+35</f>
        <v>192</v>
      </c>
      <c r="F5" s="33">
        <v>8</v>
      </c>
      <c r="G5" s="33">
        <v>8</v>
      </c>
      <c r="H5" s="55">
        <f>+D5+E5</f>
        <v>561</v>
      </c>
      <c r="I5" s="35"/>
      <c r="J5" s="36"/>
    </row>
    <row r="6" spans="1:10">
      <c r="A6" s="31"/>
      <c r="B6" s="32" t="s">
        <v>88</v>
      </c>
      <c r="C6" s="32" t="s">
        <v>20</v>
      </c>
      <c r="D6" s="37">
        <f>97+101+99+107</f>
        <v>404</v>
      </c>
      <c r="E6" s="33">
        <f>45+51+45+43</f>
        <v>184</v>
      </c>
      <c r="F6" s="37">
        <v>0</v>
      </c>
      <c r="G6" s="37">
        <v>14</v>
      </c>
      <c r="H6" s="55">
        <f t="shared" ref="H6:H7" si="0">+D6+E6</f>
        <v>588</v>
      </c>
      <c r="I6" s="35">
        <f>+H6+H7</f>
        <v>1148</v>
      </c>
      <c r="J6" s="36"/>
    </row>
    <row r="7" spans="1:10">
      <c r="A7" s="38"/>
      <c r="B7" s="39" t="s">
        <v>50</v>
      </c>
      <c r="C7" s="39" t="s">
        <v>20</v>
      </c>
      <c r="D7" s="40">
        <f>86+86+89+90</f>
        <v>351</v>
      </c>
      <c r="E7" s="40">
        <f>44+51+61+53</f>
        <v>209</v>
      </c>
      <c r="F7" s="40">
        <v>6</v>
      </c>
      <c r="G7" s="40">
        <v>5</v>
      </c>
      <c r="H7" s="56">
        <f t="shared" si="0"/>
        <v>560</v>
      </c>
      <c r="I7" s="41"/>
      <c r="J7" s="42"/>
    </row>
    <row r="8" spans="1:10" ht="15" customHeight="1">
      <c r="A8" s="43" t="s">
        <v>10</v>
      </c>
      <c r="B8" s="44" t="s">
        <v>39</v>
      </c>
      <c r="C8" s="45" t="s">
        <v>20</v>
      </c>
      <c r="D8" s="46">
        <f>89+95+86+95</f>
        <v>365</v>
      </c>
      <c r="E8" s="46">
        <f>53+54+44+57</f>
        <v>208</v>
      </c>
      <c r="F8" s="46">
        <v>3</v>
      </c>
      <c r="G8" s="46">
        <v>7</v>
      </c>
      <c r="H8" s="57">
        <f>+D8+E8</f>
        <v>573</v>
      </c>
      <c r="I8" s="47">
        <f>+H8+H9</f>
        <v>1129</v>
      </c>
      <c r="J8" s="48">
        <f>+I8+I10</f>
        <v>2246</v>
      </c>
    </row>
    <row r="9" spans="1:10" ht="15" customHeight="1">
      <c r="A9" s="31"/>
      <c r="B9" s="32" t="s">
        <v>40</v>
      </c>
      <c r="C9" s="49" t="s">
        <v>20</v>
      </c>
      <c r="D9" s="33">
        <f>89+100+96+88</f>
        <v>373</v>
      </c>
      <c r="E9" s="33">
        <f>52+43+36+52</f>
        <v>183</v>
      </c>
      <c r="F9" s="33">
        <v>8</v>
      </c>
      <c r="G9" s="33">
        <v>8</v>
      </c>
      <c r="H9" s="55">
        <f>+D9+E9</f>
        <v>556</v>
      </c>
      <c r="I9" s="35"/>
      <c r="J9" s="36"/>
    </row>
    <row r="10" spans="1:10" ht="15" customHeight="1">
      <c r="A10" s="31"/>
      <c r="B10" s="32" t="s">
        <v>36</v>
      </c>
      <c r="C10" s="49" t="s">
        <v>20</v>
      </c>
      <c r="D10" s="34">
        <f>93+92+99+95</f>
        <v>379</v>
      </c>
      <c r="E10" s="33">
        <f>53+40+45+43</f>
        <v>181</v>
      </c>
      <c r="F10" s="33">
        <v>4</v>
      </c>
      <c r="G10" s="33">
        <v>8</v>
      </c>
      <c r="H10" s="55">
        <f t="shared" ref="H10:H11" si="1">+D10+E10</f>
        <v>560</v>
      </c>
      <c r="I10" s="35">
        <f>+H10+H11</f>
        <v>1117</v>
      </c>
      <c r="J10" s="36"/>
    </row>
    <row r="11" spans="1:10" ht="15" customHeight="1">
      <c r="A11" s="38"/>
      <c r="B11" s="39" t="s">
        <v>38</v>
      </c>
      <c r="C11" s="50" t="s">
        <v>20</v>
      </c>
      <c r="D11" s="40">
        <f>87+96+95+93</f>
        <v>371</v>
      </c>
      <c r="E11" s="40">
        <f>43+72+35+36</f>
        <v>186</v>
      </c>
      <c r="F11" s="40">
        <v>8</v>
      </c>
      <c r="G11" s="40">
        <v>9</v>
      </c>
      <c r="H11" s="56">
        <f t="shared" si="1"/>
        <v>557</v>
      </c>
      <c r="I11" s="41"/>
      <c r="J11" s="42"/>
    </row>
    <row r="12" spans="1:10" ht="15" customHeight="1">
      <c r="A12" s="43" t="s">
        <v>11</v>
      </c>
      <c r="B12" s="44" t="s">
        <v>116</v>
      </c>
      <c r="C12" s="44" t="s">
        <v>20</v>
      </c>
      <c r="D12" s="46">
        <f>96+70+93+87</f>
        <v>346</v>
      </c>
      <c r="E12" s="46">
        <f>44+40+39+44</f>
        <v>167</v>
      </c>
      <c r="F12" s="46">
        <v>3</v>
      </c>
      <c r="G12" s="46">
        <v>3</v>
      </c>
      <c r="H12" s="57">
        <f t="shared" ref="H12:H21" si="2">+D12+E12</f>
        <v>513</v>
      </c>
      <c r="I12" s="47">
        <f t="shared" ref="I12" si="3">+H12+H13</f>
        <v>1099</v>
      </c>
      <c r="J12" s="48">
        <f>+I12+I14</f>
        <v>2218</v>
      </c>
    </row>
    <row r="13" spans="1:10" ht="15" customHeight="1">
      <c r="A13" s="31"/>
      <c r="B13" s="32" t="s">
        <v>117</v>
      </c>
      <c r="C13" s="32" t="s">
        <v>20</v>
      </c>
      <c r="D13" s="33">
        <f>100+85+90+92</f>
        <v>367</v>
      </c>
      <c r="E13" s="37">
        <f>50+54+53+62</f>
        <v>219</v>
      </c>
      <c r="F13" s="33">
        <v>1</v>
      </c>
      <c r="G13" s="33">
        <v>12</v>
      </c>
      <c r="H13" s="55">
        <f t="shared" si="2"/>
        <v>586</v>
      </c>
      <c r="I13" s="35"/>
      <c r="J13" s="36"/>
    </row>
    <row r="14" spans="1:10" ht="15" customHeight="1">
      <c r="A14" s="31"/>
      <c r="B14" s="32" t="s">
        <v>122</v>
      </c>
      <c r="C14" s="32" t="s">
        <v>20</v>
      </c>
      <c r="D14" s="33">
        <f>88+99+95+90</f>
        <v>372</v>
      </c>
      <c r="E14" s="33">
        <f>45+61+39+45</f>
        <v>190</v>
      </c>
      <c r="F14" s="33">
        <v>7</v>
      </c>
      <c r="G14" s="33">
        <v>9</v>
      </c>
      <c r="H14" s="55">
        <f t="shared" si="2"/>
        <v>562</v>
      </c>
      <c r="I14" s="35">
        <f t="shared" ref="I14" si="4">+H14+H15</f>
        <v>1119</v>
      </c>
      <c r="J14" s="36"/>
    </row>
    <row r="15" spans="1:10" ht="15" customHeight="1">
      <c r="A15" s="38"/>
      <c r="B15" s="39" t="s">
        <v>123</v>
      </c>
      <c r="C15" s="39" t="s">
        <v>20</v>
      </c>
      <c r="D15" s="40">
        <f>100+78+93+95</f>
        <v>366</v>
      </c>
      <c r="E15" s="40">
        <f>53+53+36+49</f>
        <v>191</v>
      </c>
      <c r="F15" s="40">
        <v>4</v>
      </c>
      <c r="G15" s="40">
        <v>9</v>
      </c>
      <c r="H15" s="56">
        <f t="shared" si="2"/>
        <v>557</v>
      </c>
      <c r="I15" s="41"/>
      <c r="J15" s="42"/>
    </row>
    <row r="16" spans="1:10" ht="15" customHeight="1">
      <c r="A16" s="43" t="s">
        <v>12</v>
      </c>
      <c r="B16" s="44" t="s">
        <v>118</v>
      </c>
      <c r="C16" s="44" t="s">
        <v>115</v>
      </c>
      <c r="D16" s="46">
        <f>88+101+88+81</f>
        <v>358</v>
      </c>
      <c r="E16" s="46">
        <f>61+54+36+62</f>
        <v>213</v>
      </c>
      <c r="F16" s="46">
        <v>2</v>
      </c>
      <c r="G16" s="46">
        <v>8</v>
      </c>
      <c r="H16" s="57">
        <f t="shared" si="2"/>
        <v>571</v>
      </c>
      <c r="I16" s="47">
        <f t="shared" ref="I16" si="5">+H16+H17</f>
        <v>1098</v>
      </c>
      <c r="J16" s="48">
        <f>+I16+I18</f>
        <v>2211</v>
      </c>
    </row>
    <row r="17" spans="1:10" ht="15" customHeight="1">
      <c r="A17" s="31"/>
      <c r="B17" s="32" t="s">
        <v>119</v>
      </c>
      <c r="C17" s="32" t="s">
        <v>115</v>
      </c>
      <c r="D17" s="33">
        <f>86+91+94+83</f>
        <v>354</v>
      </c>
      <c r="E17" s="33">
        <f>43+45+41+44</f>
        <v>173</v>
      </c>
      <c r="F17" s="33">
        <v>2</v>
      </c>
      <c r="G17" s="33">
        <v>6</v>
      </c>
      <c r="H17" s="55">
        <f t="shared" si="2"/>
        <v>527</v>
      </c>
      <c r="I17" s="35"/>
      <c r="J17" s="36"/>
    </row>
    <row r="18" spans="1:10" ht="15" customHeight="1">
      <c r="A18" s="31"/>
      <c r="B18" s="32" t="s">
        <v>120</v>
      </c>
      <c r="C18" s="32" t="s">
        <v>115</v>
      </c>
      <c r="D18" s="33">
        <f>91+86+93+95</f>
        <v>365</v>
      </c>
      <c r="E18" s="33">
        <f>71+45+45+42</f>
        <v>203</v>
      </c>
      <c r="F18" s="33">
        <v>3</v>
      </c>
      <c r="G18" s="33">
        <v>13</v>
      </c>
      <c r="H18" s="55">
        <f t="shared" si="2"/>
        <v>568</v>
      </c>
      <c r="I18" s="35">
        <f>+H18+H19</f>
        <v>1113</v>
      </c>
      <c r="J18" s="36"/>
    </row>
    <row r="19" spans="1:10" ht="15" customHeight="1">
      <c r="A19" s="38"/>
      <c r="B19" s="39" t="s">
        <v>121</v>
      </c>
      <c r="C19" s="39" t="s">
        <v>115</v>
      </c>
      <c r="D19" s="40">
        <f>78+89+89+98</f>
        <v>354</v>
      </c>
      <c r="E19" s="40">
        <f>44+45+49+53</f>
        <v>191</v>
      </c>
      <c r="F19" s="40">
        <v>3</v>
      </c>
      <c r="G19" s="40">
        <v>7</v>
      </c>
      <c r="H19" s="56">
        <f t="shared" si="2"/>
        <v>545</v>
      </c>
      <c r="I19" s="41"/>
      <c r="J19" s="42"/>
    </row>
    <row r="20" spans="1:10" ht="15.75" customHeight="1">
      <c r="A20" s="43" t="s">
        <v>13</v>
      </c>
      <c r="B20" s="44" t="s">
        <v>64</v>
      </c>
      <c r="C20" s="44" t="s">
        <v>68</v>
      </c>
      <c r="D20" s="46">
        <f>83+88+90+85</f>
        <v>346</v>
      </c>
      <c r="E20" s="46">
        <f>35+53+54+33</f>
        <v>175</v>
      </c>
      <c r="F20" s="46">
        <v>5</v>
      </c>
      <c r="G20" s="46">
        <v>4</v>
      </c>
      <c r="H20" s="57">
        <f t="shared" si="2"/>
        <v>521</v>
      </c>
      <c r="I20" s="47">
        <f>+H20+H21</f>
        <v>1070</v>
      </c>
      <c r="J20" s="48">
        <f>+I20+I22</f>
        <v>2174</v>
      </c>
    </row>
    <row r="21" spans="1:10" ht="15" customHeight="1">
      <c r="A21" s="31"/>
      <c r="B21" s="32" t="s">
        <v>66</v>
      </c>
      <c r="C21" s="32" t="s">
        <v>68</v>
      </c>
      <c r="D21" s="33">
        <f>83+82+87+86</f>
        <v>338</v>
      </c>
      <c r="E21" s="34">
        <f>60+45+53+53</f>
        <v>211</v>
      </c>
      <c r="F21" s="34">
        <v>1</v>
      </c>
      <c r="G21" s="33">
        <v>9</v>
      </c>
      <c r="H21" s="55">
        <f t="shared" si="2"/>
        <v>549</v>
      </c>
      <c r="I21" s="35"/>
      <c r="J21" s="36"/>
    </row>
    <row r="22" spans="1:10" ht="13.5" customHeight="1">
      <c r="A22" s="31"/>
      <c r="B22" s="32" t="s">
        <v>65</v>
      </c>
      <c r="C22" s="32" t="s">
        <v>68</v>
      </c>
      <c r="D22" s="33">
        <f>89+99+80+87</f>
        <v>355</v>
      </c>
      <c r="E22" s="33">
        <f>45+63+53+42</f>
        <v>203</v>
      </c>
      <c r="F22" s="33">
        <v>7</v>
      </c>
      <c r="G22" s="33">
        <v>8</v>
      </c>
      <c r="H22" s="55">
        <f t="shared" ref="H22:H23" si="6">+D22+E22</f>
        <v>558</v>
      </c>
      <c r="I22" s="35">
        <f>+H22+H23</f>
        <v>1104</v>
      </c>
      <c r="J22" s="36"/>
    </row>
    <row r="23" spans="1:10" ht="15" customHeight="1">
      <c r="A23" s="38"/>
      <c r="B23" s="39" t="s">
        <v>67</v>
      </c>
      <c r="C23" s="39" t="s">
        <v>68</v>
      </c>
      <c r="D23" s="40">
        <f>94+79+83+101</f>
        <v>357</v>
      </c>
      <c r="E23" s="40">
        <f>45+63+45+36</f>
        <v>189</v>
      </c>
      <c r="F23" s="40">
        <v>2</v>
      </c>
      <c r="G23" s="40">
        <v>6</v>
      </c>
      <c r="H23" s="56">
        <f t="shared" si="6"/>
        <v>546</v>
      </c>
      <c r="I23" s="41"/>
      <c r="J23" s="42"/>
    </row>
    <row r="24" spans="1:10" ht="15" customHeight="1">
      <c r="A24" s="43" t="s">
        <v>14</v>
      </c>
      <c r="B24" s="44" t="s">
        <v>59</v>
      </c>
      <c r="C24" s="44" t="s">
        <v>63</v>
      </c>
      <c r="D24" s="46">
        <f>100+88+97+86</f>
        <v>371</v>
      </c>
      <c r="E24" s="46">
        <f>43+41+62+43</f>
        <v>189</v>
      </c>
      <c r="F24" s="46">
        <v>9</v>
      </c>
      <c r="G24" s="46">
        <v>10</v>
      </c>
      <c r="H24" s="57">
        <f>+D24+E24</f>
        <v>560</v>
      </c>
      <c r="I24" s="47">
        <f>+H24+H25</f>
        <v>1081</v>
      </c>
      <c r="J24" s="48">
        <f>+I24+I26</f>
        <v>2133</v>
      </c>
    </row>
    <row r="25" spans="1:10" ht="15" customHeight="1">
      <c r="A25" s="31"/>
      <c r="B25" s="32" t="s">
        <v>60</v>
      </c>
      <c r="C25" s="32" t="s">
        <v>63</v>
      </c>
      <c r="D25" s="33">
        <f>92+85+92+93</f>
        <v>362</v>
      </c>
      <c r="E25" s="33">
        <f>53+44+18+44</f>
        <v>159</v>
      </c>
      <c r="F25" s="33">
        <v>13</v>
      </c>
      <c r="G25" s="33">
        <v>8</v>
      </c>
      <c r="H25" s="55">
        <f>+D25+E25</f>
        <v>521</v>
      </c>
      <c r="I25" s="35"/>
      <c r="J25" s="36"/>
    </row>
    <row r="26" spans="1:10" ht="15" customHeight="1">
      <c r="A26" s="31"/>
      <c r="B26" s="32" t="s">
        <v>61</v>
      </c>
      <c r="C26" s="32" t="s">
        <v>63</v>
      </c>
      <c r="D26" s="33">
        <f>95+78+83+87</f>
        <v>343</v>
      </c>
      <c r="E26" s="33">
        <f>35+45+27+54</f>
        <v>161</v>
      </c>
      <c r="F26" s="33">
        <v>7</v>
      </c>
      <c r="G26" s="33">
        <v>9</v>
      </c>
      <c r="H26" s="55">
        <f t="shared" ref="H26:H27" si="7">+D26+E26</f>
        <v>504</v>
      </c>
      <c r="I26" s="35">
        <f>+H26+H27</f>
        <v>1052</v>
      </c>
      <c r="J26" s="36"/>
    </row>
    <row r="27" spans="1:10" ht="15" customHeight="1">
      <c r="A27" s="38"/>
      <c r="B27" s="39" t="s">
        <v>62</v>
      </c>
      <c r="C27" s="39" t="s">
        <v>63</v>
      </c>
      <c r="D27" s="40">
        <f>83+92+99+105</f>
        <v>379</v>
      </c>
      <c r="E27" s="40">
        <f>50+42+36+41</f>
        <v>169</v>
      </c>
      <c r="F27" s="40">
        <v>4</v>
      </c>
      <c r="G27" s="40">
        <v>11</v>
      </c>
      <c r="H27" s="56">
        <f t="shared" si="7"/>
        <v>548</v>
      </c>
      <c r="I27" s="41"/>
      <c r="J27" s="42"/>
    </row>
    <row r="28" spans="1:10" ht="15" customHeight="1">
      <c r="A28" s="43" t="s">
        <v>71</v>
      </c>
      <c r="B28" s="44" t="s">
        <v>132</v>
      </c>
      <c r="C28" s="44" t="s">
        <v>126</v>
      </c>
      <c r="D28" s="46">
        <f>91+99+86+81</f>
        <v>357</v>
      </c>
      <c r="E28" s="46">
        <f>54+43+47+54</f>
        <v>198</v>
      </c>
      <c r="F28" s="46">
        <v>4</v>
      </c>
      <c r="G28" s="46">
        <v>7</v>
      </c>
      <c r="H28" s="57">
        <f t="shared" ref="H28:H39" si="8">+D28+E28</f>
        <v>555</v>
      </c>
      <c r="I28" s="47">
        <f>+H28+H29</f>
        <v>1111</v>
      </c>
      <c r="J28" s="48">
        <f t="shared" ref="J28" si="9">+I28+I30</f>
        <v>2130</v>
      </c>
    </row>
    <row r="29" spans="1:10" ht="15" customHeight="1">
      <c r="A29" s="31"/>
      <c r="B29" s="32" t="s">
        <v>133</v>
      </c>
      <c r="C29" s="32" t="s">
        <v>126</v>
      </c>
      <c r="D29" s="33">
        <f>85+97+89+101</f>
        <v>372</v>
      </c>
      <c r="E29" s="33">
        <f>63+45+44+32</f>
        <v>184</v>
      </c>
      <c r="F29" s="33">
        <v>3</v>
      </c>
      <c r="G29" s="33">
        <v>10</v>
      </c>
      <c r="H29" s="55">
        <f t="shared" si="8"/>
        <v>556</v>
      </c>
      <c r="I29" s="35"/>
      <c r="J29" s="36"/>
    </row>
    <row r="30" spans="1:10" ht="15" customHeight="1">
      <c r="A30" s="31"/>
      <c r="B30" s="32" t="s">
        <v>134</v>
      </c>
      <c r="C30" s="32" t="s">
        <v>126</v>
      </c>
      <c r="D30" s="33">
        <f>80+86+93+109</f>
        <v>368</v>
      </c>
      <c r="E30" s="33">
        <f>45+36+49+45</f>
        <v>175</v>
      </c>
      <c r="F30" s="33">
        <v>4</v>
      </c>
      <c r="G30" s="33">
        <v>10</v>
      </c>
      <c r="H30" s="55">
        <f t="shared" si="8"/>
        <v>543</v>
      </c>
      <c r="I30" s="35">
        <f>+H30+H31</f>
        <v>1019</v>
      </c>
      <c r="J30" s="36"/>
    </row>
    <row r="31" spans="1:10" ht="15" customHeight="1">
      <c r="A31" s="38"/>
      <c r="B31" s="39" t="s">
        <v>135</v>
      </c>
      <c r="C31" s="39" t="s">
        <v>126</v>
      </c>
      <c r="D31" s="40">
        <f>73+91+100+73</f>
        <v>337</v>
      </c>
      <c r="E31" s="40">
        <f>43+34+35+27</f>
        <v>139</v>
      </c>
      <c r="F31" s="40">
        <v>10</v>
      </c>
      <c r="G31" s="40">
        <v>8</v>
      </c>
      <c r="H31" s="56">
        <f t="shared" si="8"/>
        <v>476</v>
      </c>
      <c r="I31" s="41"/>
      <c r="J31" s="42"/>
    </row>
    <row r="32" spans="1:10" ht="15" customHeight="1">
      <c r="A32" s="43" t="s">
        <v>72</v>
      </c>
      <c r="B32" s="44" t="s">
        <v>94</v>
      </c>
      <c r="C32" s="44" t="s">
        <v>93</v>
      </c>
      <c r="D32" s="46">
        <f>93+87+105+94</f>
        <v>379</v>
      </c>
      <c r="E32" s="46">
        <f>45+62+43+40</f>
        <v>190</v>
      </c>
      <c r="F32" s="46">
        <v>3</v>
      </c>
      <c r="G32" s="46">
        <v>9</v>
      </c>
      <c r="H32" s="57">
        <f t="shared" si="8"/>
        <v>569</v>
      </c>
      <c r="I32" s="47">
        <f t="shared" ref="I32" si="10">+H32+H33</f>
        <v>1104</v>
      </c>
      <c r="J32" s="48">
        <f>+I32+I34</f>
        <v>2110</v>
      </c>
    </row>
    <row r="33" spans="1:10" ht="15" customHeight="1">
      <c r="A33" s="31"/>
      <c r="B33" s="32" t="s">
        <v>95</v>
      </c>
      <c r="C33" s="32" t="s">
        <v>93</v>
      </c>
      <c r="D33" s="33">
        <f>83+98+80+99</f>
        <v>360</v>
      </c>
      <c r="E33" s="33">
        <f>45+43+44+43</f>
        <v>175</v>
      </c>
      <c r="F33" s="33">
        <v>6</v>
      </c>
      <c r="G33" s="33">
        <v>6</v>
      </c>
      <c r="H33" s="55">
        <f t="shared" si="8"/>
        <v>535</v>
      </c>
      <c r="I33" s="35"/>
      <c r="J33" s="36"/>
    </row>
    <row r="34" spans="1:10" ht="15" customHeight="1">
      <c r="A34" s="31"/>
      <c r="B34" s="32" t="s">
        <v>96</v>
      </c>
      <c r="C34" s="32" t="s">
        <v>93</v>
      </c>
      <c r="D34" s="33">
        <f>90+72+102+77</f>
        <v>341</v>
      </c>
      <c r="E34" s="33">
        <f>35+42+27+52</f>
        <v>156</v>
      </c>
      <c r="F34" s="33">
        <v>11</v>
      </c>
      <c r="G34" s="33">
        <v>5</v>
      </c>
      <c r="H34" s="55">
        <f t="shared" si="8"/>
        <v>497</v>
      </c>
      <c r="I34" s="35">
        <f t="shared" ref="I34" si="11">+H34+H35</f>
        <v>1006</v>
      </c>
      <c r="J34" s="36"/>
    </row>
    <row r="35" spans="1:10" ht="15" customHeight="1">
      <c r="A35" s="38"/>
      <c r="B35" s="39" t="s">
        <v>97</v>
      </c>
      <c r="C35" s="39" t="s">
        <v>93</v>
      </c>
      <c r="D35" s="40">
        <f>84+86+75+81</f>
        <v>326</v>
      </c>
      <c r="E35" s="40">
        <f>50+54+35+44</f>
        <v>183</v>
      </c>
      <c r="F35" s="40">
        <v>8</v>
      </c>
      <c r="G35" s="40">
        <v>4</v>
      </c>
      <c r="H35" s="56">
        <f t="shared" si="8"/>
        <v>509</v>
      </c>
      <c r="I35" s="41"/>
      <c r="J35" s="42"/>
    </row>
    <row r="36" spans="1:10" ht="15.75" customHeight="1">
      <c r="A36" s="43" t="s">
        <v>73</v>
      </c>
      <c r="B36" s="44" t="s">
        <v>128</v>
      </c>
      <c r="C36" s="44" t="s">
        <v>127</v>
      </c>
      <c r="D36" s="46">
        <f>93+87+84+98</f>
        <v>362</v>
      </c>
      <c r="E36" s="46">
        <f>44+33+45+25</f>
        <v>147</v>
      </c>
      <c r="F36" s="46">
        <v>7</v>
      </c>
      <c r="G36" s="46">
        <v>5</v>
      </c>
      <c r="H36" s="57">
        <f t="shared" si="8"/>
        <v>509</v>
      </c>
      <c r="I36" s="47">
        <f>+H36+H37</f>
        <v>1058</v>
      </c>
      <c r="J36" s="48">
        <f t="shared" ref="J36" si="12">+I36+I38</f>
        <v>2063</v>
      </c>
    </row>
    <row r="37" spans="1:10">
      <c r="A37" s="31"/>
      <c r="B37" s="32" t="s">
        <v>129</v>
      </c>
      <c r="C37" s="32" t="s">
        <v>127</v>
      </c>
      <c r="D37" s="33">
        <f>96+97+93+102</f>
        <v>388</v>
      </c>
      <c r="E37" s="33">
        <f>38+45+44+34</f>
        <v>161</v>
      </c>
      <c r="F37" s="33">
        <v>4</v>
      </c>
      <c r="G37" s="33">
        <v>6</v>
      </c>
      <c r="H37" s="55">
        <f t="shared" si="8"/>
        <v>549</v>
      </c>
      <c r="I37" s="35"/>
      <c r="J37" s="36"/>
    </row>
    <row r="38" spans="1:10">
      <c r="A38" s="31"/>
      <c r="B38" s="32" t="s">
        <v>130</v>
      </c>
      <c r="C38" s="32" t="s">
        <v>127</v>
      </c>
      <c r="D38" s="33">
        <f>88+83+88+83</f>
        <v>342</v>
      </c>
      <c r="E38" s="33">
        <f>39+36+45+36</f>
        <v>156</v>
      </c>
      <c r="F38" s="33">
        <v>5</v>
      </c>
      <c r="G38" s="33">
        <v>7</v>
      </c>
      <c r="H38" s="55">
        <f t="shared" si="8"/>
        <v>498</v>
      </c>
      <c r="I38" s="35">
        <f>+H38+H39</f>
        <v>1005</v>
      </c>
      <c r="J38" s="36"/>
    </row>
    <row r="39" spans="1:10">
      <c r="A39" s="38"/>
      <c r="B39" s="39" t="s">
        <v>131</v>
      </c>
      <c r="C39" s="39" t="s">
        <v>127</v>
      </c>
      <c r="D39" s="40">
        <f>98+83+86+88</f>
        <v>355</v>
      </c>
      <c r="E39" s="40">
        <f>36+45+36+35</f>
        <v>152</v>
      </c>
      <c r="F39" s="40">
        <v>5</v>
      </c>
      <c r="G39" s="40">
        <v>8</v>
      </c>
      <c r="H39" s="56">
        <f t="shared" si="8"/>
        <v>507</v>
      </c>
      <c r="I39" s="41"/>
      <c r="J39" s="42"/>
    </row>
    <row r="41" spans="1:10">
      <c r="B41" t="s">
        <v>17</v>
      </c>
      <c r="C41" t="s">
        <v>3</v>
      </c>
      <c r="D41" s="8">
        <f>98+100+96+87</f>
        <v>381</v>
      </c>
      <c r="E41" s="8">
        <f>43+43+40+43</f>
        <v>169</v>
      </c>
      <c r="F41" s="8">
        <v>2</v>
      </c>
      <c r="G41" s="8">
        <v>11</v>
      </c>
      <c r="H41" s="54">
        <f>+D41+E41</f>
        <v>550</v>
      </c>
      <c r="I41" s="20">
        <f>+H41+H42</f>
        <v>1061</v>
      </c>
      <c r="J41" s="22">
        <f>+I41+I43</f>
        <v>1597</v>
      </c>
    </row>
    <row r="42" spans="1:10">
      <c r="B42" t="s">
        <v>18</v>
      </c>
      <c r="C42" t="s">
        <v>3</v>
      </c>
      <c r="D42" s="8">
        <f>88+98+86+79</f>
        <v>351</v>
      </c>
      <c r="E42" s="8">
        <f>45+45+36+34</f>
        <v>160</v>
      </c>
      <c r="F42" s="8">
        <v>12</v>
      </c>
      <c r="G42" s="8">
        <v>7</v>
      </c>
      <c r="H42" s="54">
        <f>+D42+E42</f>
        <v>511</v>
      </c>
      <c r="I42" s="20"/>
      <c r="J42" s="22"/>
    </row>
    <row r="43" spans="1:10">
      <c r="B43" t="s">
        <v>19</v>
      </c>
      <c r="C43" t="s">
        <v>3</v>
      </c>
      <c r="D43" s="8">
        <f>86+83+94+96</f>
        <v>359</v>
      </c>
      <c r="E43" s="8">
        <f>44+52+36+45</f>
        <v>177</v>
      </c>
      <c r="F43" s="8">
        <v>13</v>
      </c>
      <c r="G43" s="19">
        <v>12</v>
      </c>
      <c r="H43" s="54">
        <f t="shared" ref="H43" si="13">+D43+E43</f>
        <v>536</v>
      </c>
      <c r="I43" s="20">
        <f>+H43+H44</f>
        <v>536</v>
      </c>
      <c r="J43" s="22"/>
    </row>
    <row r="44" spans="1:10">
      <c r="I44" s="20"/>
      <c r="J44" s="22"/>
    </row>
    <row r="45" spans="1:10">
      <c r="B45" t="s">
        <v>49</v>
      </c>
      <c r="C45" t="s">
        <v>48</v>
      </c>
      <c r="D45" s="8">
        <f>75+80+88+70</f>
        <v>313</v>
      </c>
      <c r="E45" s="8">
        <f>18+27+34+26</f>
        <v>105</v>
      </c>
      <c r="F45" s="8">
        <v>18</v>
      </c>
      <c r="G45" s="8">
        <v>5</v>
      </c>
      <c r="H45" s="54">
        <f>+D45+E45</f>
        <v>418</v>
      </c>
      <c r="I45" s="20">
        <f>+H45+H46</f>
        <v>1011</v>
      </c>
    </row>
    <row r="46" spans="1:10">
      <c r="B46" t="s">
        <v>50</v>
      </c>
      <c r="C46" t="s">
        <v>20</v>
      </c>
      <c r="D46" s="8">
        <f>108+90+95+93</f>
        <v>386</v>
      </c>
      <c r="E46" s="8">
        <f>48+54+51+54</f>
        <v>207</v>
      </c>
      <c r="F46" s="8">
        <v>2</v>
      </c>
      <c r="G46" s="24">
        <v>14</v>
      </c>
      <c r="H46" s="54">
        <f>+D46+E46</f>
        <v>593</v>
      </c>
      <c r="I46" s="20"/>
    </row>
    <row r="47" spans="1:10" ht="5.25" customHeight="1"/>
    <row r="48" spans="1:10">
      <c r="C48" s="59" t="s">
        <v>145</v>
      </c>
      <c r="D48" s="51">
        <f>AVERAGE(D4:D47)</f>
        <v>360.80487804878049</v>
      </c>
      <c r="E48" s="51">
        <f t="shared" ref="E48:H48" si="14">AVERAGE(E4:E47)</f>
        <v>179.26829268292684</v>
      </c>
      <c r="F48" s="52">
        <f t="shared" si="14"/>
        <v>5.6097560975609753</v>
      </c>
      <c r="G48" s="52">
        <f t="shared" si="14"/>
        <v>8.2195121951219505</v>
      </c>
      <c r="H48" s="58">
        <f t="shared" si="14"/>
        <v>540.07317073170736</v>
      </c>
    </row>
  </sheetData>
  <mergeCells count="31">
    <mergeCell ref="J28:J31"/>
    <mergeCell ref="I34:I35"/>
    <mergeCell ref="I36:I37"/>
    <mergeCell ref="I38:I39"/>
    <mergeCell ref="J36:J39"/>
    <mergeCell ref="J32:J35"/>
    <mergeCell ref="I28:I29"/>
    <mergeCell ref="I26:I27"/>
    <mergeCell ref="I30:I31"/>
    <mergeCell ref="I32:I33"/>
    <mergeCell ref="I45:I46"/>
    <mergeCell ref="I41:I42"/>
    <mergeCell ref="I43:I44"/>
    <mergeCell ref="J41:J44"/>
    <mergeCell ref="I12:I13"/>
    <mergeCell ref="J12:J15"/>
    <mergeCell ref="J16:J19"/>
    <mergeCell ref="J20:J23"/>
    <mergeCell ref="I14:I15"/>
    <mergeCell ref="I16:I17"/>
    <mergeCell ref="I18:I19"/>
    <mergeCell ref="I20:I21"/>
    <mergeCell ref="I22:I23"/>
    <mergeCell ref="I24:I25"/>
    <mergeCell ref="J24:J27"/>
    <mergeCell ref="I8:I9"/>
    <mergeCell ref="J8:J11"/>
    <mergeCell ref="I10:I11"/>
    <mergeCell ref="I4:I5"/>
    <mergeCell ref="J4:J7"/>
    <mergeCell ref="I6:I7"/>
  </mergeCells>
  <pageMargins left="0.35433070866141736" right="0.31496062992125984" top="0.31496062992125984" bottom="0.74803149606299213" header="0.19685039370078741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opLeftCell="A3" zoomScaleNormal="100" workbookViewId="0">
      <selection activeCell="C29" sqref="C29"/>
    </sheetView>
  </sheetViews>
  <sheetFormatPr defaultRowHeight="15"/>
  <cols>
    <col min="1" max="1" width="3" customWidth="1"/>
    <col min="2" max="2" width="19.7109375" customWidth="1"/>
    <col min="3" max="3" width="16.28515625" customWidth="1"/>
    <col min="4" max="4" width="5.5703125" style="8" customWidth="1"/>
    <col min="5" max="5" width="7" style="8" customWidth="1"/>
    <col min="6" max="6" width="3.7109375" style="8" customWidth="1"/>
    <col min="7" max="7" width="5.28515625" style="8" customWidth="1"/>
    <col min="8" max="8" width="5.7109375" customWidth="1"/>
    <col min="9" max="9" width="7.7109375" customWidth="1"/>
    <col min="10" max="10" width="5.28515625" customWidth="1"/>
    <col min="11" max="11" width="4.42578125" customWidth="1"/>
  </cols>
  <sheetData>
    <row r="1" spans="1:11" ht="18.75">
      <c r="A1" s="2"/>
      <c r="B1" s="5" t="s">
        <v>9</v>
      </c>
      <c r="E1" s="9" t="s">
        <v>15</v>
      </c>
      <c r="F1" s="9"/>
      <c r="G1" s="7"/>
      <c r="H1" s="6" t="s">
        <v>8</v>
      </c>
    </row>
    <row r="2" spans="1:11" ht="6" customHeight="1">
      <c r="A2" s="2"/>
    </row>
    <row r="3" spans="1:11">
      <c r="A3" s="2"/>
      <c r="B3" s="1" t="s">
        <v>1</v>
      </c>
      <c r="C3" s="1" t="s">
        <v>2</v>
      </c>
      <c r="D3" s="1" t="s">
        <v>4</v>
      </c>
      <c r="E3" s="1" t="s">
        <v>5</v>
      </c>
      <c r="F3" s="1">
        <v>9</v>
      </c>
      <c r="G3" s="1" t="s">
        <v>6</v>
      </c>
    </row>
    <row r="4" spans="1:11">
      <c r="A4" s="2" t="s">
        <v>0</v>
      </c>
      <c r="B4" t="s">
        <v>51</v>
      </c>
      <c r="C4" t="s">
        <v>45</v>
      </c>
      <c r="D4" s="8">
        <f>76+97+97+90</f>
        <v>360</v>
      </c>
      <c r="E4" s="8">
        <f>62+36+35+33</f>
        <v>166</v>
      </c>
      <c r="F4" s="24">
        <v>12</v>
      </c>
      <c r="G4" s="8">
        <v>11</v>
      </c>
      <c r="H4">
        <f>+D4+E4</f>
        <v>526</v>
      </c>
      <c r="I4" s="20">
        <f>+H4+H5</f>
        <v>1055</v>
      </c>
      <c r="J4" s="22">
        <f>+I4+I6</f>
        <v>2133</v>
      </c>
    </row>
    <row r="5" spans="1:11">
      <c r="A5" s="2"/>
      <c r="B5" t="s">
        <v>52</v>
      </c>
      <c r="C5" t="s">
        <v>45</v>
      </c>
      <c r="D5" s="8">
        <f>89+91+82+95</f>
        <v>357</v>
      </c>
      <c r="E5" s="8">
        <f>26+44+62+40</f>
        <v>172</v>
      </c>
      <c r="F5" s="8">
        <v>8</v>
      </c>
      <c r="G5" s="8">
        <v>7</v>
      </c>
      <c r="H5">
        <f>+D5+E5</f>
        <v>529</v>
      </c>
      <c r="I5" s="20"/>
      <c r="J5" s="22"/>
    </row>
    <row r="6" spans="1:11">
      <c r="A6" s="2"/>
      <c r="B6" t="s">
        <v>53</v>
      </c>
      <c r="C6" t="s">
        <v>45</v>
      </c>
      <c r="D6" s="24">
        <f>93+96+91+94</f>
        <v>374</v>
      </c>
      <c r="E6" s="8">
        <f>53+40+44+36</f>
        <v>173</v>
      </c>
      <c r="F6" s="8">
        <v>10</v>
      </c>
      <c r="G6" s="8">
        <v>4</v>
      </c>
      <c r="H6">
        <f t="shared" ref="H6:H7" si="0">+D6+E6</f>
        <v>547</v>
      </c>
      <c r="I6" s="20">
        <f>+H6+H7</f>
        <v>1078</v>
      </c>
      <c r="J6" s="22"/>
    </row>
    <row r="7" spans="1:11">
      <c r="A7" s="2"/>
      <c r="B7" t="s">
        <v>54</v>
      </c>
      <c r="C7" t="s">
        <v>45</v>
      </c>
      <c r="D7" s="8">
        <f>79+92+87+77</f>
        <v>335</v>
      </c>
      <c r="E7" s="8">
        <f>43+42+67+44</f>
        <v>196</v>
      </c>
      <c r="F7" s="8">
        <v>11</v>
      </c>
      <c r="G7" s="8">
        <v>3</v>
      </c>
      <c r="H7">
        <f t="shared" si="0"/>
        <v>531</v>
      </c>
      <c r="I7" s="20"/>
      <c r="J7" s="22"/>
    </row>
    <row r="8" spans="1:11">
      <c r="A8" s="2" t="s">
        <v>10</v>
      </c>
      <c r="B8" t="s">
        <v>23</v>
      </c>
      <c r="C8" t="s">
        <v>20</v>
      </c>
      <c r="D8" s="8">
        <f>90+87+96+77</f>
        <v>350</v>
      </c>
      <c r="E8" s="24">
        <f>41+54+51+52</f>
        <v>198</v>
      </c>
      <c r="F8" s="8">
        <v>4</v>
      </c>
      <c r="G8" s="24">
        <v>2</v>
      </c>
      <c r="H8">
        <f>+D8+E8</f>
        <v>548</v>
      </c>
      <c r="I8" s="20">
        <f>+H8+H9</f>
        <v>1095</v>
      </c>
      <c r="J8" s="22">
        <f>+I8+I10</f>
        <v>2066</v>
      </c>
    </row>
    <row r="9" spans="1:11">
      <c r="A9" s="2"/>
      <c r="B9" t="s">
        <v>24</v>
      </c>
      <c r="C9" t="s">
        <v>20</v>
      </c>
      <c r="D9" s="8">
        <f>90+91+88+87</f>
        <v>356</v>
      </c>
      <c r="E9" s="8">
        <f>36+43+54+58</f>
        <v>191</v>
      </c>
      <c r="F9" s="8">
        <v>6</v>
      </c>
      <c r="G9" s="8">
        <v>3</v>
      </c>
      <c r="H9">
        <f>+D9+E9</f>
        <v>547</v>
      </c>
      <c r="I9" s="20"/>
      <c r="J9" s="22"/>
    </row>
    <row r="10" spans="1:11">
      <c r="A10" s="2"/>
      <c r="B10" t="s">
        <v>25</v>
      </c>
      <c r="C10" t="s">
        <v>20</v>
      </c>
      <c r="D10" s="8">
        <f>82+89+80+84</f>
        <v>335</v>
      </c>
      <c r="E10" s="8">
        <f>26+35+35+35</f>
        <v>131</v>
      </c>
      <c r="F10" s="8">
        <v>5</v>
      </c>
      <c r="G10" s="8">
        <v>9</v>
      </c>
      <c r="H10">
        <f t="shared" ref="H10:H11" si="1">+D10+E10</f>
        <v>466</v>
      </c>
      <c r="I10" s="20">
        <f>+H10+H11</f>
        <v>971</v>
      </c>
      <c r="J10" s="22"/>
    </row>
    <row r="11" spans="1:11">
      <c r="A11" s="2"/>
      <c r="B11" t="s">
        <v>26</v>
      </c>
      <c r="C11" t="s">
        <v>20</v>
      </c>
      <c r="D11" s="8">
        <f>88+89+91+88</f>
        <v>356</v>
      </c>
      <c r="E11" s="8">
        <f>36+33+41+39</f>
        <v>149</v>
      </c>
      <c r="F11" s="8">
        <v>7</v>
      </c>
      <c r="G11" s="8">
        <v>10</v>
      </c>
      <c r="H11">
        <f t="shared" si="1"/>
        <v>505</v>
      </c>
      <c r="I11" s="20"/>
      <c r="J11" s="22"/>
    </row>
    <row r="12" spans="1:11">
      <c r="A12" s="2" t="s">
        <v>11</v>
      </c>
      <c r="B12" t="s">
        <v>27</v>
      </c>
      <c r="C12" t="s">
        <v>21</v>
      </c>
      <c r="D12" s="8">
        <f>83+85+77+65</f>
        <v>310</v>
      </c>
      <c r="E12" s="8">
        <f>36+45+43+27</f>
        <v>151</v>
      </c>
      <c r="F12" s="8">
        <v>8</v>
      </c>
      <c r="G12" s="8">
        <v>15</v>
      </c>
      <c r="H12">
        <f>+D12+E12</f>
        <v>461</v>
      </c>
      <c r="I12" s="20">
        <f>+H12+H13</f>
        <v>907</v>
      </c>
      <c r="J12" s="22">
        <f>+I12+I14</f>
        <v>1842</v>
      </c>
    </row>
    <row r="13" spans="1:11">
      <c r="A13" s="2"/>
      <c r="B13" t="s">
        <v>28</v>
      </c>
      <c r="C13" t="s">
        <v>21</v>
      </c>
      <c r="D13" s="8">
        <f>73+79+74+94</f>
        <v>320</v>
      </c>
      <c r="E13" s="8">
        <f>27+36+29+34</f>
        <v>126</v>
      </c>
      <c r="F13" s="8">
        <v>8</v>
      </c>
      <c r="G13" s="8">
        <v>13</v>
      </c>
      <c r="H13">
        <f>+D13+E13</f>
        <v>446</v>
      </c>
      <c r="I13" s="20"/>
      <c r="J13" s="22"/>
      <c r="K13" s="25">
        <f>+E12+E13+E14+E15</f>
        <v>528</v>
      </c>
    </row>
    <row r="14" spans="1:11">
      <c r="A14" s="2"/>
      <c r="B14" t="s">
        <v>29</v>
      </c>
      <c r="C14" t="s">
        <v>21</v>
      </c>
      <c r="D14" s="8">
        <f>94+89+83+82</f>
        <v>348</v>
      </c>
      <c r="E14" s="8">
        <f>43+27+36+25</f>
        <v>131</v>
      </c>
      <c r="F14" s="8">
        <v>2</v>
      </c>
      <c r="G14" s="8">
        <v>11</v>
      </c>
      <c r="H14">
        <f t="shared" ref="H14:H15" si="2">+D14+E14</f>
        <v>479</v>
      </c>
      <c r="I14" s="20">
        <f>+H14+H15</f>
        <v>935</v>
      </c>
      <c r="J14" s="22"/>
      <c r="K14" s="25"/>
    </row>
    <row r="15" spans="1:11">
      <c r="A15" s="2"/>
      <c r="B15" t="s">
        <v>30</v>
      </c>
      <c r="C15" t="s">
        <v>21</v>
      </c>
      <c r="D15" s="8">
        <f>90+89+74+83</f>
        <v>336</v>
      </c>
      <c r="E15" s="8">
        <f>26+25+33+36</f>
        <v>120</v>
      </c>
      <c r="F15" s="8">
        <v>4</v>
      </c>
      <c r="G15" s="8">
        <v>16</v>
      </c>
      <c r="H15">
        <f t="shared" si="2"/>
        <v>456</v>
      </c>
      <c r="I15" s="20"/>
      <c r="J15" s="22"/>
    </row>
    <row r="16" spans="1:11">
      <c r="A16" s="2" t="s">
        <v>12</v>
      </c>
      <c r="B16" t="s">
        <v>99</v>
      </c>
      <c r="C16" t="s">
        <v>98</v>
      </c>
      <c r="D16" s="8">
        <f>88+99+86+84</f>
        <v>357</v>
      </c>
      <c r="E16" s="8">
        <f>26+43+27+26</f>
        <v>122</v>
      </c>
      <c r="F16" s="8">
        <v>3</v>
      </c>
      <c r="G16" s="8">
        <v>14</v>
      </c>
      <c r="H16">
        <f t="shared" ref="H16:H24" si="3">+D16+E16</f>
        <v>479</v>
      </c>
      <c r="I16" s="20">
        <f t="shared" ref="I16" si="4">+H16+H17</f>
        <v>923</v>
      </c>
      <c r="J16" s="22">
        <f>+I16+I18</f>
        <v>1842</v>
      </c>
    </row>
    <row r="17" spans="1:11">
      <c r="A17" s="2"/>
      <c r="B17" t="s">
        <v>100</v>
      </c>
      <c r="C17" t="s">
        <v>98</v>
      </c>
      <c r="D17" s="8">
        <f>90+82+68+84</f>
        <v>324</v>
      </c>
      <c r="E17" s="8">
        <f>26+51+25+18</f>
        <v>120</v>
      </c>
      <c r="F17" s="8">
        <v>3</v>
      </c>
      <c r="G17" s="8">
        <v>17</v>
      </c>
      <c r="H17">
        <f t="shared" si="3"/>
        <v>444</v>
      </c>
      <c r="I17" s="20"/>
      <c r="J17" s="22"/>
      <c r="K17" s="25">
        <f>+E16+E17+E18+E19</f>
        <v>485</v>
      </c>
    </row>
    <row r="18" spans="1:11">
      <c r="A18" s="2"/>
      <c r="B18" t="s">
        <v>101</v>
      </c>
      <c r="C18" t="s">
        <v>98</v>
      </c>
      <c r="D18" s="8">
        <f>79+93+80+86</f>
        <v>338</v>
      </c>
      <c r="E18" s="8">
        <f>36+24+44+25</f>
        <v>129</v>
      </c>
      <c r="F18" s="8">
        <v>4</v>
      </c>
      <c r="G18" s="8">
        <v>14</v>
      </c>
      <c r="H18">
        <f t="shared" si="3"/>
        <v>467</v>
      </c>
      <c r="I18" s="20">
        <f t="shared" ref="I18" si="5">+H18+H19</f>
        <v>919</v>
      </c>
      <c r="J18" s="22"/>
      <c r="K18" s="25"/>
    </row>
    <row r="19" spans="1:11">
      <c r="A19" s="2"/>
      <c r="B19" t="s">
        <v>102</v>
      </c>
      <c r="C19" t="s">
        <v>98</v>
      </c>
      <c r="D19" s="8">
        <f>102+69+87+80</f>
        <v>338</v>
      </c>
      <c r="E19" s="8">
        <f>25+36+26+27</f>
        <v>114</v>
      </c>
      <c r="F19" s="8">
        <v>9</v>
      </c>
      <c r="G19" s="8">
        <v>18</v>
      </c>
      <c r="H19">
        <f t="shared" si="3"/>
        <v>452</v>
      </c>
      <c r="I19" s="20"/>
      <c r="J19" s="22"/>
    </row>
    <row r="20" spans="1:11">
      <c r="A20" s="2" t="s">
        <v>13</v>
      </c>
      <c r="B20" t="s">
        <v>56</v>
      </c>
      <c r="C20" t="s">
        <v>45</v>
      </c>
      <c r="D20" s="8">
        <f>73+84+77+87</f>
        <v>321</v>
      </c>
      <c r="E20" s="8">
        <f>27+24+26+27</f>
        <v>104</v>
      </c>
      <c r="F20" s="8">
        <v>3</v>
      </c>
      <c r="G20" s="8">
        <v>13</v>
      </c>
      <c r="H20">
        <f t="shared" si="3"/>
        <v>425</v>
      </c>
      <c r="I20" s="20">
        <f>+H20+H21</f>
        <v>819</v>
      </c>
      <c r="J20" s="22">
        <f>+I20+I22</f>
        <v>1741</v>
      </c>
    </row>
    <row r="21" spans="1:11">
      <c r="A21" s="2"/>
      <c r="B21" t="s">
        <v>55</v>
      </c>
      <c r="C21" t="s">
        <v>45</v>
      </c>
      <c r="D21" s="8">
        <f>80+59+61+82</f>
        <v>282</v>
      </c>
      <c r="E21" s="8">
        <f>39+24+23+26</f>
        <v>112</v>
      </c>
      <c r="F21" s="8">
        <v>3</v>
      </c>
      <c r="G21" s="8">
        <v>24</v>
      </c>
      <c r="H21">
        <f t="shared" si="3"/>
        <v>394</v>
      </c>
      <c r="I21" s="20"/>
      <c r="J21" s="22"/>
    </row>
    <row r="22" spans="1:11">
      <c r="A22" s="2"/>
      <c r="B22" t="s">
        <v>57</v>
      </c>
      <c r="C22" t="s">
        <v>45</v>
      </c>
      <c r="D22" s="8">
        <f>95+85+87+81</f>
        <v>348</v>
      </c>
      <c r="E22" s="8">
        <f>40+31+32+44</f>
        <v>147</v>
      </c>
      <c r="F22" s="8">
        <v>7</v>
      </c>
      <c r="G22" s="8">
        <v>11</v>
      </c>
      <c r="H22">
        <f t="shared" si="3"/>
        <v>495</v>
      </c>
      <c r="I22" s="20">
        <f>+H22+H23</f>
        <v>922</v>
      </c>
      <c r="J22" s="22"/>
    </row>
    <row r="23" spans="1:11">
      <c r="A23" s="2"/>
      <c r="B23" t="s">
        <v>58</v>
      </c>
      <c r="C23" t="s">
        <v>45</v>
      </c>
      <c r="D23" s="8">
        <f>53+87+86+75</f>
        <v>301</v>
      </c>
      <c r="E23" s="8">
        <f>32+26+32+36</f>
        <v>126</v>
      </c>
      <c r="F23" s="8">
        <v>4</v>
      </c>
      <c r="G23" s="8">
        <v>11</v>
      </c>
      <c r="H23">
        <f t="shared" si="3"/>
        <v>427</v>
      </c>
      <c r="I23" s="20"/>
      <c r="J23" s="22"/>
    </row>
    <row r="24" spans="1:11">
      <c r="A24" s="2" t="s">
        <v>14</v>
      </c>
      <c r="B24" t="s">
        <v>49</v>
      </c>
      <c r="C24" t="s">
        <v>48</v>
      </c>
      <c r="D24" s="8">
        <f>75+80+88+70</f>
        <v>313</v>
      </c>
      <c r="E24" s="8">
        <f>18+27+34+26</f>
        <v>105</v>
      </c>
      <c r="F24" s="8">
        <v>5</v>
      </c>
      <c r="G24" s="8">
        <v>18</v>
      </c>
      <c r="H24">
        <f t="shared" si="3"/>
        <v>418</v>
      </c>
      <c r="I24" s="20">
        <f>+H24+H25</f>
        <v>418</v>
      </c>
      <c r="J24" s="22"/>
    </row>
    <row r="25" spans="1:11" ht="4.5" customHeight="1">
      <c r="A25" s="2"/>
      <c r="I25" s="20"/>
      <c r="J25" s="22"/>
    </row>
    <row r="26" spans="1:11">
      <c r="A26" s="2"/>
      <c r="B26" t="s">
        <v>89</v>
      </c>
      <c r="C26" t="s">
        <v>20</v>
      </c>
      <c r="D26" s="8">
        <f>57+64+71+67</f>
        <v>259</v>
      </c>
      <c r="E26" s="8">
        <f>19+43+35+26</f>
        <v>123</v>
      </c>
      <c r="F26" s="8">
        <v>5</v>
      </c>
      <c r="G26" s="8">
        <v>19</v>
      </c>
      <c r="H26">
        <f t="shared" ref="H26:H27" si="6">+D26+E26</f>
        <v>382</v>
      </c>
      <c r="I26" s="20">
        <f>+H26+H27</f>
        <v>782</v>
      </c>
      <c r="J26" s="22"/>
    </row>
    <row r="27" spans="1:11">
      <c r="A27" s="2"/>
      <c r="B27" t="s">
        <v>90</v>
      </c>
      <c r="C27" t="s">
        <v>20</v>
      </c>
      <c r="D27" s="8">
        <f>81+74+69+74</f>
        <v>298</v>
      </c>
      <c r="E27" s="8">
        <f>35+17+17+33</f>
        <v>102</v>
      </c>
      <c r="F27" s="8">
        <v>6</v>
      </c>
      <c r="G27" s="8">
        <v>22</v>
      </c>
      <c r="H27">
        <f t="shared" si="6"/>
        <v>400</v>
      </c>
      <c r="I27" s="20"/>
      <c r="J27" s="22"/>
    </row>
    <row r="28" spans="1:11" ht="5.25" customHeight="1"/>
    <row r="29" spans="1:11">
      <c r="C29" s="59" t="s">
        <v>145</v>
      </c>
      <c r="D29" s="60">
        <f>AVERAGE(D4:D28)</f>
        <v>331.13043478260869</v>
      </c>
      <c r="E29" s="51">
        <f t="shared" ref="E29:H29" si="7">AVERAGE(E4:E28)</f>
        <v>139.47826086956522</v>
      </c>
      <c r="F29" s="51">
        <f t="shared" si="7"/>
        <v>5.9565217391304346</v>
      </c>
      <c r="G29" s="60">
        <f t="shared" si="7"/>
        <v>12.391304347826088</v>
      </c>
      <c r="H29" s="51">
        <f t="shared" si="7"/>
        <v>470.60869565217394</v>
      </c>
    </row>
  </sheetData>
  <mergeCells count="18">
    <mergeCell ref="I4:I5"/>
    <mergeCell ref="J4:J7"/>
    <mergeCell ref="I6:I7"/>
    <mergeCell ref="I20:I21"/>
    <mergeCell ref="J20:J23"/>
    <mergeCell ref="I22:I23"/>
    <mergeCell ref="I8:I9"/>
    <mergeCell ref="J8:J11"/>
    <mergeCell ref="I10:I11"/>
    <mergeCell ref="I12:I13"/>
    <mergeCell ref="J12:J15"/>
    <mergeCell ref="I14:I15"/>
    <mergeCell ref="I16:I17"/>
    <mergeCell ref="I18:I19"/>
    <mergeCell ref="J16:J19"/>
    <mergeCell ref="I24:I25"/>
    <mergeCell ref="J24:J27"/>
    <mergeCell ref="I26:I2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Normal="100" workbookViewId="0">
      <selection activeCell="K17" sqref="K17"/>
    </sheetView>
  </sheetViews>
  <sheetFormatPr defaultRowHeight="15"/>
  <cols>
    <col min="1" max="1" width="3.140625" customWidth="1"/>
    <col min="2" max="2" width="18.28515625" customWidth="1"/>
    <col min="3" max="3" width="14.85546875" customWidth="1"/>
    <col min="4" max="4" width="4.42578125" customWidth="1"/>
    <col min="5" max="5" width="6.42578125" style="8" customWidth="1"/>
    <col min="6" max="6" width="4.140625" style="8" customWidth="1"/>
    <col min="7" max="7" width="4.5703125" style="8" customWidth="1"/>
    <col min="8" max="8" width="5.7109375" style="2" customWidth="1"/>
    <col min="9" max="9" width="5.85546875" customWidth="1"/>
    <col min="10" max="10" width="8.140625" customWidth="1"/>
  </cols>
  <sheetData>
    <row r="1" spans="1:10">
      <c r="A1" s="2"/>
      <c r="B1" s="3" t="s">
        <v>9</v>
      </c>
      <c r="E1" s="7" t="s">
        <v>15</v>
      </c>
      <c r="F1" s="7"/>
      <c r="G1" s="7"/>
      <c r="H1" s="7" t="s">
        <v>16</v>
      </c>
    </row>
    <row r="2" spans="1:10" ht="6.75" customHeight="1">
      <c r="A2" s="2"/>
    </row>
    <row r="3" spans="1:10">
      <c r="A3" s="2"/>
      <c r="B3" s="1" t="s">
        <v>1</v>
      </c>
      <c r="C3" s="1" t="s">
        <v>2</v>
      </c>
      <c r="D3" s="1" t="s">
        <v>4</v>
      </c>
      <c r="E3" s="1" t="s">
        <v>5</v>
      </c>
      <c r="F3" s="1">
        <v>9</v>
      </c>
      <c r="G3" s="1" t="s">
        <v>6</v>
      </c>
    </row>
    <row r="4" spans="1:10">
      <c r="A4" s="2" t="s">
        <v>0</v>
      </c>
      <c r="B4" t="s">
        <v>31</v>
      </c>
      <c r="C4" t="s">
        <v>22</v>
      </c>
      <c r="D4">
        <f>75+75+96+101</f>
        <v>347</v>
      </c>
      <c r="E4" s="8">
        <f>32+26+45+32</f>
        <v>135</v>
      </c>
      <c r="F4" s="8">
        <v>8</v>
      </c>
      <c r="G4" s="8">
        <v>9</v>
      </c>
      <c r="H4" s="2">
        <f>+D4+E4</f>
        <v>482</v>
      </c>
      <c r="I4" s="20">
        <f>+H4+H5</f>
        <v>1000</v>
      </c>
      <c r="J4" s="21">
        <f>+I4+I6</f>
        <v>1937</v>
      </c>
    </row>
    <row r="5" spans="1:10">
      <c r="A5" s="2"/>
      <c r="B5" t="s">
        <v>32</v>
      </c>
      <c r="C5" t="s">
        <v>22</v>
      </c>
      <c r="D5">
        <f>93+82+84+99</f>
        <v>358</v>
      </c>
      <c r="E5" s="8">
        <f>44+36+44+36</f>
        <v>160</v>
      </c>
      <c r="F5" s="8">
        <v>8</v>
      </c>
      <c r="G5" s="8">
        <v>10</v>
      </c>
      <c r="H5" s="2">
        <f>+D5+E5</f>
        <v>518</v>
      </c>
      <c r="I5" s="20"/>
      <c r="J5" s="21"/>
    </row>
    <row r="6" spans="1:10">
      <c r="A6" s="2"/>
      <c r="B6" t="s">
        <v>33</v>
      </c>
      <c r="C6" t="s">
        <v>22</v>
      </c>
      <c r="D6">
        <f>84+92+79+84</f>
        <v>339</v>
      </c>
      <c r="E6" s="8">
        <f>51+45+31+31</f>
        <v>158</v>
      </c>
      <c r="F6" s="24">
        <v>9</v>
      </c>
      <c r="G6" s="8">
        <v>14</v>
      </c>
      <c r="H6" s="2">
        <f t="shared" ref="H6:H7" si="0">+D6+E6</f>
        <v>497</v>
      </c>
      <c r="I6" s="20">
        <f>+H6+H7</f>
        <v>937</v>
      </c>
      <c r="J6" s="21"/>
    </row>
    <row r="7" spans="1:10">
      <c r="A7" s="2"/>
      <c r="B7" t="s">
        <v>34</v>
      </c>
      <c r="C7" t="s">
        <v>22</v>
      </c>
      <c r="D7">
        <f>81+59+85+90</f>
        <v>315</v>
      </c>
      <c r="E7" s="8">
        <f>26+25+48+26</f>
        <v>125</v>
      </c>
      <c r="F7" s="8">
        <v>3</v>
      </c>
      <c r="G7" s="8">
        <v>17</v>
      </c>
      <c r="H7" s="2">
        <f t="shared" si="0"/>
        <v>440</v>
      </c>
      <c r="I7" s="20"/>
      <c r="J7" s="21"/>
    </row>
    <row r="8" spans="1:10">
      <c r="A8" s="2" t="s">
        <v>10</v>
      </c>
      <c r="B8" t="s">
        <v>91</v>
      </c>
      <c r="C8" t="s">
        <v>20</v>
      </c>
      <c r="D8">
        <f>80+84+89+96</f>
        <v>349</v>
      </c>
      <c r="E8" s="8">
        <f>33+34+44+45</f>
        <v>156</v>
      </c>
      <c r="F8" s="8">
        <v>8</v>
      </c>
      <c r="G8" s="8">
        <v>8</v>
      </c>
      <c r="H8" s="2">
        <f>+D8+E8</f>
        <v>505</v>
      </c>
      <c r="I8" s="20">
        <f>+H8+H9</f>
        <v>1009</v>
      </c>
      <c r="J8" s="21">
        <f>+I8+I10</f>
        <v>1928</v>
      </c>
    </row>
    <row r="9" spans="1:10">
      <c r="A9" s="2"/>
      <c r="B9" t="s">
        <v>92</v>
      </c>
      <c r="C9" t="s">
        <v>20</v>
      </c>
      <c r="D9">
        <f>74+86+97+76</f>
        <v>333</v>
      </c>
      <c r="E9" s="24">
        <f>59+42+45+25</f>
        <v>171</v>
      </c>
      <c r="F9" s="8">
        <v>6</v>
      </c>
      <c r="G9" s="8">
        <v>8</v>
      </c>
      <c r="H9" s="2">
        <f>+D9+E9</f>
        <v>504</v>
      </c>
      <c r="I9" s="20"/>
      <c r="J9" s="21"/>
    </row>
    <row r="10" spans="1:10">
      <c r="A10" s="2"/>
      <c r="B10" t="s">
        <v>143</v>
      </c>
      <c r="C10" t="s">
        <v>20</v>
      </c>
      <c r="D10">
        <f>81+62+78+81</f>
        <v>302</v>
      </c>
      <c r="E10" s="8">
        <f>18+38+34+33</f>
        <v>123</v>
      </c>
      <c r="F10" s="8">
        <v>1</v>
      </c>
      <c r="G10" s="8">
        <v>17</v>
      </c>
      <c r="H10" s="2">
        <f t="shared" ref="H10:H11" si="1">+D10+E10</f>
        <v>425</v>
      </c>
      <c r="I10" s="20">
        <f>+H10+H11</f>
        <v>919</v>
      </c>
      <c r="J10" s="21"/>
    </row>
    <row r="11" spans="1:10">
      <c r="A11" s="2"/>
      <c r="B11" t="s">
        <v>144</v>
      </c>
      <c r="C11" t="s">
        <v>20</v>
      </c>
      <c r="D11">
        <f>73+83+74+97</f>
        <v>327</v>
      </c>
      <c r="E11" s="8">
        <f>43+27+53+44</f>
        <v>167</v>
      </c>
      <c r="F11" s="8">
        <v>6</v>
      </c>
      <c r="G11" s="8">
        <v>7</v>
      </c>
      <c r="H11" s="2">
        <f t="shared" si="1"/>
        <v>494</v>
      </c>
      <c r="I11" s="20"/>
      <c r="J11" s="21"/>
    </row>
    <row r="12" spans="1:10">
      <c r="A12" s="2" t="s">
        <v>11</v>
      </c>
      <c r="B12" t="s">
        <v>41</v>
      </c>
      <c r="C12" t="s">
        <v>45</v>
      </c>
      <c r="D12">
        <f>78+90+70+79</f>
        <v>317</v>
      </c>
      <c r="E12" s="8">
        <f>29+35+26+8</f>
        <v>98</v>
      </c>
      <c r="F12" s="8">
        <v>8</v>
      </c>
      <c r="G12" s="8">
        <v>28</v>
      </c>
      <c r="H12" s="2">
        <f>+D12+E12</f>
        <v>415</v>
      </c>
      <c r="I12" s="20">
        <f>+H12+H13</f>
        <v>854</v>
      </c>
      <c r="J12" s="21">
        <f>+I12+I14</f>
        <v>1922</v>
      </c>
    </row>
    <row r="13" spans="1:10">
      <c r="A13" s="2"/>
      <c r="B13" t="s">
        <v>42</v>
      </c>
      <c r="C13" t="s">
        <v>45</v>
      </c>
      <c r="D13">
        <f>85+81+76+70</f>
        <v>312</v>
      </c>
      <c r="E13" s="8">
        <f>27+31+43+26</f>
        <v>127</v>
      </c>
      <c r="F13" s="8">
        <v>1</v>
      </c>
      <c r="G13" s="8">
        <v>18</v>
      </c>
      <c r="H13" s="2">
        <f>+D13+E13</f>
        <v>439</v>
      </c>
      <c r="I13" s="20"/>
      <c r="J13" s="21"/>
    </row>
    <row r="14" spans="1:10">
      <c r="A14" s="2"/>
      <c r="B14" t="s">
        <v>43</v>
      </c>
      <c r="C14" t="s">
        <v>45</v>
      </c>
      <c r="D14" s="3">
        <f>93+98+95+87</f>
        <v>373</v>
      </c>
      <c r="E14" s="8">
        <f>35+45+53+35</f>
        <v>168</v>
      </c>
      <c r="F14" s="8">
        <v>7</v>
      </c>
      <c r="G14" s="8">
        <v>7</v>
      </c>
      <c r="H14" s="2">
        <f t="shared" ref="H14:H15" si="2">+D14+E14</f>
        <v>541</v>
      </c>
      <c r="I14" s="20">
        <f>+H14+H15</f>
        <v>1068</v>
      </c>
      <c r="J14" s="21"/>
    </row>
    <row r="15" spans="1:10">
      <c r="A15" s="2"/>
      <c r="B15" t="s">
        <v>44</v>
      </c>
      <c r="C15" t="s">
        <v>45</v>
      </c>
      <c r="D15">
        <f>78+89+88+103</f>
        <v>358</v>
      </c>
      <c r="E15" s="8">
        <f>31+52+36+50</f>
        <v>169</v>
      </c>
      <c r="F15" s="8">
        <v>4</v>
      </c>
      <c r="G15" s="24">
        <v>6</v>
      </c>
      <c r="H15" s="2">
        <f t="shared" si="2"/>
        <v>527</v>
      </c>
      <c r="I15" s="20"/>
      <c r="J15" s="21"/>
    </row>
    <row r="16" spans="1:10" ht="6" customHeight="1">
      <c r="A16" s="2"/>
    </row>
    <row r="17" spans="1:10">
      <c r="A17" s="2"/>
      <c r="B17" t="s">
        <v>46</v>
      </c>
      <c r="C17" t="s">
        <v>48</v>
      </c>
      <c r="D17">
        <f>87+92+80+83</f>
        <v>342</v>
      </c>
      <c r="E17" s="8">
        <f>32+34+35+30</f>
        <v>131</v>
      </c>
      <c r="F17" s="8">
        <v>7</v>
      </c>
      <c r="G17" s="8">
        <v>13</v>
      </c>
      <c r="H17" s="2">
        <f>+D17+E17</f>
        <v>473</v>
      </c>
      <c r="I17" s="20">
        <f>+H17+H18</f>
        <v>836</v>
      </c>
    </row>
    <row r="18" spans="1:10">
      <c r="A18" s="2"/>
      <c r="B18" t="s">
        <v>47</v>
      </c>
      <c r="C18" t="s">
        <v>48</v>
      </c>
      <c r="D18">
        <f>69+69+74+51</f>
        <v>263</v>
      </c>
      <c r="E18" s="8">
        <f>17+30+26+27</f>
        <v>100</v>
      </c>
      <c r="F18" s="8">
        <v>2</v>
      </c>
      <c r="G18" s="8">
        <v>26</v>
      </c>
      <c r="H18" s="2">
        <f>+D18+E18</f>
        <v>363</v>
      </c>
      <c r="I18" s="20"/>
    </row>
    <row r="19" spans="1:10" ht="6.75" customHeight="1">
      <c r="A19" s="2"/>
    </row>
    <row r="20" spans="1:10">
      <c r="A20" s="2"/>
      <c r="B20" t="s">
        <v>99</v>
      </c>
      <c r="C20" t="s">
        <v>98</v>
      </c>
      <c r="D20">
        <v>357</v>
      </c>
      <c r="E20" s="8">
        <v>122</v>
      </c>
      <c r="F20" s="8">
        <v>3</v>
      </c>
      <c r="G20" s="8">
        <v>14</v>
      </c>
      <c r="H20" s="2">
        <f>+D20+E20</f>
        <v>479</v>
      </c>
    </row>
    <row r="21" spans="1:10" ht="7.5" customHeight="1">
      <c r="A21" s="2"/>
    </row>
    <row r="22" spans="1:10">
      <c r="A22" s="2"/>
      <c r="B22" t="s">
        <v>55</v>
      </c>
      <c r="C22" t="s">
        <v>45</v>
      </c>
      <c r="D22">
        <f>80+59+61+82</f>
        <v>282</v>
      </c>
      <c r="E22" s="8">
        <f>39+24+23+26</f>
        <v>112</v>
      </c>
      <c r="F22" s="8">
        <v>3</v>
      </c>
      <c r="G22" s="8">
        <v>24</v>
      </c>
      <c r="H22" s="2">
        <f>+D22+E22</f>
        <v>394</v>
      </c>
    </row>
    <row r="23" spans="1:10" ht="8.25" customHeight="1">
      <c r="A23" s="2"/>
    </row>
    <row r="24" spans="1:10">
      <c r="A24" s="2"/>
      <c r="C24" s="61" t="s">
        <v>145</v>
      </c>
      <c r="D24" s="62">
        <f>AVERAGE(D4:D23)</f>
        <v>329.625</v>
      </c>
      <c r="E24" s="51">
        <f t="shared" ref="E24:H24" si="3">AVERAGE(E4:E23)</f>
        <v>138.875</v>
      </c>
      <c r="F24" s="62">
        <f t="shared" si="3"/>
        <v>5.25</v>
      </c>
      <c r="G24" s="52">
        <f t="shared" si="3"/>
        <v>14.125</v>
      </c>
      <c r="H24" s="51">
        <f t="shared" si="3"/>
        <v>468.5</v>
      </c>
      <c r="I24" s="20"/>
      <c r="J24" s="22"/>
    </row>
    <row r="25" spans="1:10">
      <c r="A25" s="2"/>
      <c r="I25" s="20"/>
      <c r="J25" s="22"/>
    </row>
    <row r="26" spans="1:10">
      <c r="A26" s="2"/>
      <c r="I26" s="20"/>
      <c r="J26" s="22"/>
    </row>
    <row r="27" spans="1:10">
      <c r="A27" s="2"/>
      <c r="I27" s="20"/>
      <c r="J27" s="22"/>
    </row>
    <row r="31" spans="1:10">
      <c r="I31" s="26"/>
      <c r="J31" s="22"/>
    </row>
    <row r="32" spans="1:10">
      <c r="I32" s="26"/>
      <c r="J32" s="22"/>
    </row>
    <row r="33" spans="9:10">
      <c r="I33" s="20"/>
      <c r="J33" s="22"/>
    </row>
    <row r="34" spans="9:10">
      <c r="I34" s="20"/>
      <c r="J34" s="22"/>
    </row>
    <row r="35" spans="9:10">
      <c r="J35" s="22"/>
    </row>
    <row r="36" spans="9:10">
      <c r="J36" s="22"/>
    </row>
    <row r="37" spans="9:10">
      <c r="I37" s="20"/>
      <c r="J37" s="22"/>
    </row>
    <row r="38" spans="9:10">
      <c r="I38" s="20"/>
      <c r="J38" s="22"/>
    </row>
  </sheetData>
  <mergeCells count="17">
    <mergeCell ref="I24:I25"/>
    <mergeCell ref="J24:J27"/>
    <mergeCell ref="I26:I27"/>
    <mergeCell ref="I17:I18"/>
    <mergeCell ref="J35:J38"/>
    <mergeCell ref="I37:I38"/>
    <mergeCell ref="J31:J34"/>
    <mergeCell ref="I33:I34"/>
    <mergeCell ref="I4:I5"/>
    <mergeCell ref="J4:J7"/>
    <mergeCell ref="I6:I7"/>
    <mergeCell ref="I12:I13"/>
    <mergeCell ref="J12:J15"/>
    <mergeCell ref="I14:I15"/>
    <mergeCell ref="I8:I9"/>
    <mergeCell ref="J8:J11"/>
    <mergeCell ref="I10:I11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Normal="100" workbookViewId="0">
      <selection activeCell="N24" sqref="N24"/>
    </sheetView>
  </sheetViews>
  <sheetFormatPr defaultRowHeight="15"/>
  <cols>
    <col min="1" max="1" width="3.5703125" customWidth="1"/>
    <col min="2" max="2" width="17.7109375" customWidth="1"/>
    <col min="3" max="3" width="15" customWidth="1"/>
    <col min="4" max="4" width="4.5703125" style="7" customWidth="1"/>
    <col min="5" max="5" width="3.42578125" style="8" customWidth="1"/>
    <col min="6" max="6" width="1.140625" style="8" customWidth="1"/>
    <col min="7" max="7" width="3.5703125" customWidth="1"/>
    <col min="8" max="8" width="17.42578125" customWidth="1"/>
    <col min="9" max="9" width="16.140625" customWidth="1"/>
    <col min="10" max="10" width="4.28515625" customWidth="1"/>
    <col min="11" max="11" width="3.42578125" customWidth="1"/>
    <col min="12" max="12" width="0.7109375" customWidth="1"/>
    <col min="13" max="13" width="3.5703125" customWidth="1"/>
    <col min="14" max="14" width="20.42578125" customWidth="1"/>
    <col min="15" max="15" width="13.42578125" customWidth="1"/>
    <col min="16" max="16" width="4.28515625" style="4" customWidth="1"/>
  </cols>
  <sheetData>
    <row r="1" spans="1:16" ht="18.75">
      <c r="B1" s="10" t="s">
        <v>9</v>
      </c>
    </row>
    <row r="2" spans="1:16" ht="3" customHeight="1"/>
    <row r="3" spans="1:16">
      <c r="B3" s="13" t="s">
        <v>69</v>
      </c>
    </row>
    <row r="4" spans="1:16" ht="1.5" customHeight="1"/>
    <row r="5" spans="1:16">
      <c r="B5" s="16" t="s">
        <v>70</v>
      </c>
      <c r="C5" s="15"/>
      <c r="D5" s="16"/>
      <c r="E5" s="27"/>
      <c r="F5" s="27"/>
      <c r="G5" s="15"/>
      <c r="H5" s="16" t="s">
        <v>85</v>
      </c>
      <c r="I5" s="15"/>
      <c r="J5" s="15"/>
      <c r="K5" s="15"/>
      <c r="L5" s="15"/>
      <c r="M5" s="15"/>
      <c r="N5" s="16" t="s">
        <v>86</v>
      </c>
    </row>
    <row r="6" spans="1:16" ht="3" customHeight="1"/>
    <row r="7" spans="1:16">
      <c r="A7" s="16" t="s">
        <v>0</v>
      </c>
      <c r="B7" s="14" t="s">
        <v>50</v>
      </c>
      <c r="C7" t="s">
        <v>20</v>
      </c>
      <c r="D7" s="7">
        <v>593</v>
      </c>
      <c r="G7" s="16" t="s">
        <v>0</v>
      </c>
      <c r="H7" s="14" t="s">
        <v>23</v>
      </c>
      <c r="I7" t="s">
        <v>20</v>
      </c>
      <c r="J7" s="4">
        <v>548</v>
      </c>
      <c r="M7" s="16" t="s">
        <v>0</v>
      </c>
      <c r="N7" s="14" t="s">
        <v>43</v>
      </c>
      <c r="O7" t="s">
        <v>45</v>
      </c>
      <c r="P7" s="4">
        <v>541</v>
      </c>
    </row>
    <row r="8" spans="1:16">
      <c r="A8" s="16" t="s">
        <v>10</v>
      </c>
      <c r="B8" s="14" t="s">
        <v>88</v>
      </c>
      <c r="C8" t="s">
        <v>20</v>
      </c>
      <c r="D8" s="7">
        <v>588</v>
      </c>
      <c r="G8" s="16" t="s">
        <v>10</v>
      </c>
      <c r="H8" s="14" t="s">
        <v>24</v>
      </c>
      <c r="I8" t="s">
        <v>20</v>
      </c>
      <c r="J8" s="4">
        <v>547</v>
      </c>
      <c r="K8" s="28">
        <v>191</v>
      </c>
      <c r="M8" s="16" t="s">
        <v>10</v>
      </c>
      <c r="N8" s="14" t="s">
        <v>44</v>
      </c>
      <c r="O8" t="s">
        <v>45</v>
      </c>
      <c r="P8" s="4">
        <v>527</v>
      </c>
    </row>
    <row r="9" spans="1:16">
      <c r="A9" s="16" t="s">
        <v>11</v>
      </c>
      <c r="B9" s="14" t="s">
        <v>117</v>
      </c>
      <c r="C9" t="s">
        <v>20</v>
      </c>
      <c r="D9" s="7">
        <v>586</v>
      </c>
      <c r="G9" s="16" t="s">
        <v>11</v>
      </c>
      <c r="H9" s="14" t="s">
        <v>53</v>
      </c>
      <c r="I9" t="s">
        <v>45</v>
      </c>
      <c r="J9" s="4">
        <v>547</v>
      </c>
      <c r="K9" s="28">
        <v>173</v>
      </c>
      <c r="M9" s="16" t="s">
        <v>11</v>
      </c>
      <c r="N9" s="14" t="s">
        <v>32</v>
      </c>
      <c r="O9" t="s">
        <v>22</v>
      </c>
      <c r="P9" s="4">
        <v>518</v>
      </c>
    </row>
    <row r="10" spans="1:16">
      <c r="A10" s="16" t="s">
        <v>12</v>
      </c>
      <c r="B10" t="s">
        <v>39</v>
      </c>
      <c r="C10" s="12" t="s">
        <v>20</v>
      </c>
      <c r="D10" s="7">
        <v>573</v>
      </c>
      <c r="G10" s="16" t="s">
        <v>12</v>
      </c>
      <c r="H10" t="s">
        <v>54</v>
      </c>
      <c r="I10" t="s">
        <v>45</v>
      </c>
      <c r="J10" s="4">
        <v>531</v>
      </c>
      <c r="M10" s="16" t="s">
        <v>12</v>
      </c>
      <c r="N10" t="s">
        <v>91</v>
      </c>
      <c r="O10" t="s">
        <v>20</v>
      </c>
      <c r="P10" s="4">
        <v>505</v>
      </c>
    </row>
    <row r="11" spans="1:16">
      <c r="A11" s="16" t="s">
        <v>13</v>
      </c>
      <c r="B11" t="s">
        <v>118</v>
      </c>
      <c r="C11" t="s">
        <v>115</v>
      </c>
      <c r="D11" s="7">
        <v>571</v>
      </c>
      <c r="G11" s="16" t="s">
        <v>13</v>
      </c>
      <c r="H11" t="s">
        <v>52</v>
      </c>
      <c r="I11" t="s">
        <v>45</v>
      </c>
      <c r="J11" s="4">
        <v>529</v>
      </c>
      <c r="M11" s="16" t="s">
        <v>13</v>
      </c>
      <c r="N11" t="s">
        <v>92</v>
      </c>
      <c r="O11" t="s">
        <v>20</v>
      </c>
      <c r="P11" s="4">
        <v>504</v>
      </c>
    </row>
    <row r="12" spans="1:16">
      <c r="A12" s="16" t="s">
        <v>14</v>
      </c>
      <c r="B12" t="s">
        <v>94</v>
      </c>
      <c r="C12" t="s">
        <v>93</v>
      </c>
      <c r="D12" s="7">
        <v>569</v>
      </c>
      <c r="G12" s="16" t="s">
        <v>14</v>
      </c>
      <c r="H12" t="s">
        <v>51</v>
      </c>
      <c r="I12" t="s">
        <v>45</v>
      </c>
      <c r="J12" s="4">
        <v>526</v>
      </c>
      <c r="M12" s="16" t="s">
        <v>14</v>
      </c>
      <c r="N12" t="s">
        <v>33</v>
      </c>
      <c r="O12" t="s">
        <v>22</v>
      </c>
      <c r="P12" s="4">
        <v>497</v>
      </c>
    </row>
    <row r="13" spans="1:16">
      <c r="A13" s="16" t="s">
        <v>71</v>
      </c>
      <c r="B13" t="s">
        <v>120</v>
      </c>
      <c r="C13" t="s">
        <v>115</v>
      </c>
      <c r="D13" s="7">
        <v>568</v>
      </c>
      <c r="G13" s="16" t="s">
        <v>71</v>
      </c>
      <c r="H13" t="s">
        <v>26</v>
      </c>
      <c r="I13" t="s">
        <v>20</v>
      </c>
      <c r="J13" s="4">
        <v>505</v>
      </c>
      <c r="M13" s="16" t="s">
        <v>71</v>
      </c>
      <c r="N13" t="s">
        <v>144</v>
      </c>
      <c r="O13" t="s">
        <v>20</v>
      </c>
      <c r="P13" s="4">
        <v>494</v>
      </c>
    </row>
    <row r="14" spans="1:16">
      <c r="A14" s="16" t="s">
        <v>72</v>
      </c>
      <c r="B14" t="s">
        <v>122</v>
      </c>
      <c r="C14" t="s">
        <v>20</v>
      </c>
      <c r="D14" s="7">
        <v>562</v>
      </c>
      <c r="G14" s="16" t="s">
        <v>72</v>
      </c>
      <c r="H14" t="s">
        <v>57</v>
      </c>
      <c r="I14" t="s">
        <v>45</v>
      </c>
      <c r="J14" s="4">
        <v>495</v>
      </c>
      <c r="M14" s="16" t="s">
        <v>72</v>
      </c>
      <c r="N14" t="s">
        <v>31</v>
      </c>
      <c r="O14" t="s">
        <v>22</v>
      </c>
      <c r="P14" s="4">
        <v>482</v>
      </c>
    </row>
    <row r="15" spans="1:16">
      <c r="A15" s="16" t="s">
        <v>73</v>
      </c>
      <c r="B15" t="s">
        <v>37</v>
      </c>
      <c r="C15" t="s">
        <v>20</v>
      </c>
      <c r="D15" s="7">
        <v>561</v>
      </c>
      <c r="G15" s="16" t="s">
        <v>73</v>
      </c>
      <c r="H15" t="s">
        <v>29</v>
      </c>
      <c r="I15" t="s">
        <v>21</v>
      </c>
      <c r="J15" s="4">
        <v>479</v>
      </c>
      <c r="M15" s="16" t="s">
        <v>73</v>
      </c>
      <c r="N15" t="s">
        <v>99</v>
      </c>
      <c r="O15" t="s">
        <v>98</v>
      </c>
      <c r="P15" s="4">
        <v>479</v>
      </c>
    </row>
    <row r="16" spans="1:16">
      <c r="A16" s="16" t="s">
        <v>74</v>
      </c>
      <c r="B16" t="s">
        <v>59</v>
      </c>
      <c r="C16" t="s">
        <v>63</v>
      </c>
      <c r="D16" s="7">
        <v>560</v>
      </c>
      <c r="E16" s="28">
        <v>189</v>
      </c>
      <c r="F16" s="28"/>
      <c r="G16" s="16" t="s">
        <v>74</v>
      </c>
      <c r="H16" t="s">
        <v>101</v>
      </c>
      <c r="I16" t="s">
        <v>98</v>
      </c>
      <c r="J16" s="4">
        <v>467</v>
      </c>
      <c r="M16" s="16" t="s">
        <v>74</v>
      </c>
      <c r="N16" t="s">
        <v>46</v>
      </c>
      <c r="O16" t="s">
        <v>48</v>
      </c>
      <c r="P16" s="4">
        <v>473</v>
      </c>
    </row>
    <row r="17" spans="1:16">
      <c r="A17" s="16" t="s">
        <v>75</v>
      </c>
      <c r="B17" t="s">
        <v>36</v>
      </c>
      <c r="C17" s="12" t="s">
        <v>20</v>
      </c>
      <c r="D17" s="7">
        <v>560</v>
      </c>
      <c r="E17" s="28">
        <v>181</v>
      </c>
      <c r="F17" s="28"/>
      <c r="G17" s="16" t="s">
        <v>75</v>
      </c>
      <c r="H17" t="s">
        <v>25</v>
      </c>
      <c r="I17" t="s">
        <v>20</v>
      </c>
      <c r="J17" s="4">
        <v>466</v>
      </c>
      <c r="M17" s="16" t="s">
        <v>75</v>
      </c>
      <c r="N17" t="s">
        <v>34</v>
      </c>
      <c r="O17" t="s">
        <v>22</v>
      </c>
      <c r="P17" s="4">
        <v>440</v>
      </c>
    </row>
    <row r="18" spans="1:16">
      <c r="A18" s="16" t="s">
        <v>76</v>
      </c>
      <c r="B18" t="s">
        <v>65</v>
      </c>
      <c r="C18" t="s">
        <v>68</v>
      </c>
      <c r="D18" s="7">
        <v>558</v>
      </c>
      <c r="E18" s="28"/>
      <c r="F18" s="28"/>
      <c r="G18" s="16" t="s">
        <v>76</v>
      </c>
      <c r="H18" t="s">
        <v>27</v>
      </c>
      <c r="I18" t="s">
        <v>21</v>
      </c>
      <c r="J18" s="4">
        <v>461</v>
      </c>
      <c r="M18" s="16" t="s">
        <v>76</v>
      </c>
      <c r="N18" t="s">
        <v>42</v>
      </c>
      <c r="O18" t="s">
        <v>45</v>
      </c>
      <c r="P18" s="4">
        <v>439</v>
      </c>
    </row>
    <row r="19" spans="1:16">
      <c r="A19" s="16" t="s">
        <v>77</v>
      </c>
      <c r="B19" t="s">
        <v>123</v>
      </c>
      <c r="C19" t="s">
        <v>20</v>
      </c>
      <c r="D19" s="7">
        <v>557</v>
      </c>
      <c r="E19" s="28">
        <v>191</v>
      </c>
      <c r="F19" s="28"/>
      <c r="G19" s="16" t="s">
        <v>77</v>
      </c>
      <c r="H19" t="s">
        <v>30</v>
      </c>
      <c r="I19" t="s">
        <v>21</v>
      </c>
      <c r="J19" s="4">
        <v>456</v>
      </c>
      <c r="M19" s="16" t="s">
        <v>77</v>
      </c>
      <c r="N19" t="s">
        <v>143</v>
      </c>
      <c r="O19" t="s">
        <v>20</v>
      </c>
      <c r="P19" s="4">
        <v>425</v>
      </c>
    </row>
    <row r="20" spans="1:16">
      <c r="A20" s="16" t="s">
        <v>78</v>
      </c>
      <c r="B20" t="s">
        <v>38</v>
      </c>
      <c r="C20" s="12" t="s">
        <v>20</v>
      </c>
      <c r="D20" s="7">
        <v>557</v>
      </c>
      <c r="E20" s="28">
        <v>186</v>
      </c>
      <c r="F20" s="28"/>
      <c r="G20" s="16" t="s">
        <v>78</v>
      </c>
      <c r="H20" t="s">
        <v>102</v>
      </c>
      <c r="I20" t="s">
        <v>98</v>
      </c>
      <c r="J20" s="4">
        <v>452</v>
      </c>
      <c r="M20" s="16" t="s">
        <v>78</v>
      </c>
      <c r="N20" t="s">
        <v>41</v>
      </c>
      <c r="O20" t="s">
        <v>45</v>
      </c>
      <c r="P20" s="4">
        <v>415</v>
      </c>
    </row>
    <row r="21" spans="1:16">
      <c r="A21" s="16" t="s">
        <v>79</v>
      </c>
      <c r="B21" t="s">
        <v>133</v>
      </c>
      <c r="C21" t="s">
        <v>126</v>
      </c>
      <c r="D21" s="7">
        <v>556</v>
      </c>
      <c r="E21" s="28">
        <v>184</v>
      </c>
      <c r="F21" s="28"/>
      <c r="G21" s="16" t="s">
        <v>79</v>
      </c>
      <c r="H21" t="s">
        <v>28</v>
      </c>
      <c r="I21" t="s">
        <v>21</v>
      </c>
      <c r="J21" s="4">
        <v>446</v>
      </c>
      <c r="M21" s="16" t="s">
        <v>79</v>
      </c>
      <c r="N21" t="s">
        <v>55</v>
      </c>
      <c r="O21" t="s">
        <v>45</v>
      </c>
      <c r="P21" s="4">
        <v>394</v>
      </c>
    </row>
    <row r="22" spans="1:16">
      <c r="A22" s="16" t="s">
        <v>80</v>
      </c>
      <c r="B22" t="s">
        <v>40</v>
      </c>
      <c r="C22" s="12" t="s">
        <v>20</v>
      </c>
      <c r="D22" s="7">
        <v>556</v>
      </c>
      <c r="E22" s="28">
        <v>183</v>
      </c>
      <c r="F22" s="28"/>
      <c r="G22" s="16" t="s">
        <v>80</v>
      </c>
      <c r="H22" t="s">
        <v>100</v>
      </c>
      <c r="I22" t="s">
        <v>98</v>
      </c>
      <c r="J22" s="4">
        <v>444</v>
      </c>
      <c r="M22" s="16" t="s">
        <v>80</v>
      </c>
      <c r="N22" t="s">
        <v>47</v>
      </c>
      <c r="O22" t="s">
        <v>48</v>
      </c>
      <c r="P22" s="4">
        <v>363</v>
      </c>
    </row>
    <row r="23" spans="1:16">
      <c r="A23" s="16" t="s">
        <v>81</v>
      </c>
      <c r="B23" t="s">
        <v>132</v>
      </c>
      <c r="C23" t="s">
        <v>126</v>
      </c>
      <c r="D23" s="7">
        <v>555</v>
      </c>
      <c r="E23" s="28"/>
      <c r="F23" s="28"/>
      <c r="G23" s="16" t="s">
        <v>81</v>
      </c>
      <c r="H23" t="s">
        <v>58</v>
      </c>
      <c r="I23" t="s">
        <v>45</v>
      </c>
      <c r="J23" s="4">
        <v>427</v>
      </c>
    </row>
    <row r="24" spans="1:16">
      <c r="A24" s="16" t="s">
        <v>82</v>
      </c>
      <c r="B24" t="s">
        <v>17</v>
      </c>
      <c r="C24" t="s">
        <v>3</v>
      </c>
      <c r="D24" s="7">
        <v>550</v>
      </c>
      <c r="E24" s="28"/>
      <c r="F24" s="28"/>
      <c r="G24" s="16" t="s">
        <v>82</v>
      </c>
      <c r="H24" t="s">
        <v>56</v>
      </c>
      <c r="I24" t="s">
        <v>45</v>
      </c>
      <c r="J24" s="4">
        <v>425</v>
      </c>
    </row>
    <row r="25" spans="1:16">
      <c r="A25" s="16" t="s">
        <v>83</v>
      </c>
      <c r="B25" t="s">
        <v>66</v>
      </c>
      <c r="C25" t="s">
        <v>68</v>
      </c>
      <c r="D25" s="7">
        <v>549</v>
      </c>
      <c r="E25" s="28">
        <v>211</v>
      </c>
      <c r="F25" s="28"/>
      <c r="G25" s="16" t="s">
        <v>83</v>
      </c>
      <c r="H25" t="s">
        <v>49</v>
      </c>
      <c r="I25" t="s">
        <v>48</v>
      </c>
      <c r="J25" s="4">
        <v>418</v>
      </c>
    </row>
    <row r="26" spans="1:16">
      <c r="A26" s="16" t="s">
        <v>84</v>
      </c>
      <c r="B26" t="s">
        <v>129</v>
      </c>
      <c r="C26" t="s">
        <v>127</v>
      </c>
      <c r="D26" s="7">
        <v>549</v>
      </c>
      <c r="E26" s="28">
        <v>161</v>
      </c>
      <c r="F26" s="28"/>
      <c r="G26" s="16" t="s">
        <v>84</v>
      </c>
      <c r="H26" t="s">
        <v>90</v>
      </c>
      <c r="I26" t="s">
        <v>20</v>
      </c>
      <c r="J26" s="4">
        <v>400</v>
      </c>
    </row>
    <row r="27" spans="1:16">
      <c r="A27" s="16" t="s">
        <v>103</v>
      </c>
      <c r="B27" t="s">
        <v>62</v>
      </c>
      <c r="C27" t="s">
        <v>63</v>
      </c>
      <c r="D27" s="7">
        <v>548</v>
      </c>
      <c r="G27" s="16" t="s">
        <v>103</v>
      </c>
      <c r="H27" t="s">
        <v>89</v>
      </c>
      <c r="I27" t="s">
        <v>20</v>
      </c>
      <c r="J27" s="4">
        <v>382</v>
      </c>
    </row>
    <row r="28" spans="1:16">
      <c r="A28" s="16" t="s">
        <v>104</v>
      </c>
      <c r="B28" t="s">
        <v>67</v>
      </c>
      <c r="C28" t="s">
        <v>68</v>
      </c>
      <c r="D28" s="7">
        <v>546</v>
      </c>
    </row>
    <row r="29" spans="1:16">
      <c r="A29" s="16" t="s">
        <v>105</v>
      </c>
      <c r="B29" t="s">
        <v>121</v>
      </c>
      <c r="C29" t="s">
        <v>115</v>
      </c>
      <c r="D29" s="7">
        <v>545</v>
      </c>
    </row>
    <row r="30" spans="1:16">
      <c r="A30" s="16" t="s">
        <v>106</v>
      </c>
      <c r="B30" t="s">
        <v>134</v>
      </c>
      <c r="C30" t="s">
        <v>126</v>
      </c>
      <c r="D30" s="7">
        <v>543</v>
      </c>
    </row>
    <row r="31" spans="1:16">
      <c r="A31" s="16" t="s">
        <v>107</v>
      </c>
      <c r="B31" t="s">
        <v>35</v>
      </c>
      <c r="C31" t="s">
        <v>20</v>
      </c>
      <c r="D31" s="7">
        <v>541</v>
      </c>
    </row>
    <row r="32" spans="1:16">
      <c r="A32" s="16" t="s">
        <v>108</v>
      </c>
      <c r="B32" t="s">
        <v>19</v>
      </c>
      <c r="C32" t="s">
        <v>3</v>
      </c>
      <c r="D32" s="7">
        <v>536</v>
      </c>
    </row>
    <row r="33" spans="1:5">
      <c r="A33" s="16" t="s">
        <v>109</v>
      </c>
      <c r="B33" t="s">
        <v>95</v>
      </c>
      <c r="C33" t="s">
        <v>93</v>
      </c>
      <c r="D33" s="7">
        <v>535</v>
      </c>
    </row>
    <row r="34" spans="1:5">
      <c r="A34" s="16" t="s">
        <v>110</v>
      </c>
      <c r="B34" t="s">
        <v>119</v>
      </c>
      <c r="C34" t="s">
        <v>115</v>
      </c>
      <c r="D34" s="7">
        <v>527</v>
      </c>
    </row>
    <row r="35" spans="1:5">
      <c r="A35" s="16" t="s">
        <v>111</v>
      </c>
      <c r="B35" t="s">
        <v>64</v>
      </c>
      <c r="C35" t="s">
        <v>68</v>
      </c>
      <c r="D35" s="7">
        <v>521</v>
      </c>
      <c r="E35" s="28">
        <v>175</v>
      </c>
    </row>
    <row r="36" spans="1:5">
      <c r="A36" s="16" t="s">
        <v>112</v>
      </c>
      <c r="B36" t="s">
        <v>60</v>
      </c>
      <c r="C36" t="s">
        <v>63</v>
      </c>
      <c r="D36" s="7">
        <v>521</v>
      </c>
      <c r="E36" s="28">
        <v>159</v>
      </c>
    </row>
    <row r="37" spans="1:5">
      <c r="A37" s="16" t="s">
        <v>113</v>
      </c>
      <c r="B37" t="s">
        <v>116</v>
      </c>
      <c r="C37" t="s">
        <v>20</v>
      </c>
      <c r="D37" s="7">
        <v>513</v>
      </c>
      <c r="E37" s="28"/>
    </row>
    <row r="38" spans="1:5">
      <c r="A38" s="16" t="s">
        <v>114</v>
      </c>
      <c r="B38" t="s">
        <v>18</v>
      </c>
      <c r="C38" t="s">
        <v>3</v>
      </c>
      <c r="D38" s="7">
        <v>511</v>
      </c>
      <c r="E38" s="28"/>
    </row>
    <row r="39" spans="1:5">
      <c r="A39" s="16" t="s">
        <v>136</v>
      </c>
      <c r="B39" t="s">
        <v>97</v>
      </c>
      <c r="C39" t="s">
        <v>93</v>
      </c>
      <c r="D39" s="7">
        <v>509</v>
      </c>
      <c r="E39" s="28">
        <v>183</v>
      </c>
    </row>
    <row r="40" spans="1:5">
      <c r="A40" s="16" t="s">
        <v>137</v>
      </c>
      <c r="B40" t="s">
        <v>128</v>
      </c>
      <c r="C40" t="s">
        <v>127</v>
      </c>
      <c r="D40" s="7">
        <v>509</v>
      </c>
      <c r="E40" s="28">
        <v>147</v>
      </c>
    </row>
    <row r="41" spans="1:5">
      <c r="A41" s="16" t="s">
        <v>138</v>
      </c>
      <c r="B41" t="s">
        <v>131</v>
      </c>
      <c r="C41" t="s">
        <v>127</v>
      </c>
      <c r="D41" s="7">
        <v>507</v>
      </c>
    </row>
    <row r="42" spans="1:5">
      <c r="A42" s="16" t="s">
        <v>139</v>
      </c>
      <c r="B42" t="s">
        <v>61</v>
      </c>
      <c r="C42" t="s">
        <v>63</v>
      </c>
      <c r="D42" s="7">
        <v>504</v>
      </c>
    </row>
    <row r="43" spans="1:5">
      <c r="A43" s="16" t="s">
        <v>140</v>
      </c>
      <c r="B43" t="s">
        <v>130</v>
      </c>
      <c r="C43" t="s">
        <v>127</v>
      </c>
      <c r="D43" s="7">
        <v>498</v>
      </c>
    </row>
    <row r="44" spans="1:5">
      <c r="A44" s="16" t="s">
        <v>141</v>
      </c>
      <c r="B44" t="s">
        <v>96</v>
      </c>
      <c r="C44" t="s">
        <v>93</v>
      </c>
      <c r="D44" s="7">
        <v>497</v>
      </c>
    </row>
    <row r="45" spans="1:5">
      <c r="A45" s="16" t="s">
        <v>142</v>
      </c>
      <c r="B45" t="s">
        <v>135</v>
      </c>
      <c r="C45" t="s">
        <v>126</v>
      </c>
      <c r="D45" s="7">
        <v>476</v>
      </c>
    </row>
    <row r="46" spans="1:5">
      <c r="A46" s="16"/>
    </row>
  </sheetData>
  <pageMargins left="0.57999999999999996" right="0.41" top="0.32" bottom="0.33" header="0.19" footer="0.21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topLeftCell="A21" zoomScaleNormal="100" workbookViewId="0">
      <selection activeCell="G43" sqref="G43"/>
    </sheetView>
  </sheetViews>
  <sheetFormatPr defaultRowHeight="15"/>
  <cols>
    <col min="1" max="1" width="3.140625" style="16" customWidth="1"/>
    <col min="2" max="2" width="16.7109375" customWidth="1"/>
    <col min="3" max="3" width="14.85546875" customWidth="1"/>
    <col min="4" max="4" width="5.5703125" style="17" customWidth="1"/>
    <col min="5" max="5" width="3.7109375" customWidth="1"/>
    <col min="6" max="6" width="3" customWidth="1"/>
    <col min="7" max="7" width="17" customWidth="1"/>
    <col min="8" max="8" width="15.85546875" customWidth="1"/>
    <col min="9" max="9" width="6.42578125" style="17" customWidth="1"/>
    <col min="10" max="10" width="2.42578125" style="17" customWidth="1"/>
    <col min="11" max="11" width="2.85546875" customWidth="1"/>
    <col min="12" max="12" width="20.5703125" customWidth="1"/>
    <col min="13" max="13" width="14.42578125" customWidth="1"/>
    <col min="14" max="14" width="6.28515625" style="17" customWidth="1"/>
  </cols>
  <sheetData>
    <row r="1" spans="1:14" ht="18.75">
      <c r="B1" s="10" t="s">
        <v>9</v>
      </c>
    </row>
    <row r="2" spans="1:14" ht="5.25" customHeight="1"/>
    <row r="3" spans="1:14">
      <c r="B3" s="12" t="s">
        <v>87</v>
      </c>
    </row>
    <row r="4" spans="1:14" ht="6.75" customHeight="1"/>
    <row r="5" spans="1:14">
      <c r="C5" s="14" t="s">
        <v>70</v>
      </c>
      <c r="E5" s="15"/>
      <c r="F5" s="15"/>
      <c r="G5" s="15"/>
      <c r="H5" s="14" t="s">
        <v>85</v>
      </c>
      <c r="K5" s="15"/>
      <c r="L5" s="15"/>
      <c r="M5" s="14" t="s">
        <v>86</v>
      </c>
    </row>
    <row r="6" spans="1:14" ht="6" customHeight="1"/>
    <row r="7" spans="1:14">
      <c r="A7" s="16" t="s">
        <v>0</v>
      </c>
      <c r="B7" s="14" t="s">
        <v>88</v>
      </c>
      <c r="C7" t="s">
        <v>20</v>
      </c>
      <c r="D7" s="23">
        <v>1148</v>
      </c>
      <c r="F7" s="16" t="s">
        <v>0</v>
      </c>
      <c r="G7" s="14" t="s">
        <v>23</v>
      </c>
      <c r="H7" t="s">
        <v>20</v>
      </c>
      <c r="I7" s="23">
        <v>1095</v>
      </c>
      <c r="J7" s="18"/>
      <c r="K7" s="16" t="s">
        <v>0</v>
      </c>
      <c r="L7" s="14" t="s">
        <v>43</v>
      </c>
      <c r="M7" t="s">
        <v>45</v>
      </c>
      <c r="N7" s="23">
        <v>1068</v>
      </c>
    </row>
    <row r="8" spans="1:14">
      <c r="B8" s="14" t="s">
        <v>50</v>
      </c>
      <c r="C8" t="s">
        <v>20</v>
      </c>
      <c r="D8" s="23"/>
      <c r="F8" s="16"/>
      <c r="G8" s="14" t="s">
        <v>24</v>
      </c>
      <c r="H8" t="s">
        <v>20</v>
      </c>
      <c r="I8" s="23"/>
      <c r="J8" s="18"/>
      <c r="K8" s="16"/>
      <c r="L8" s="14" t="s">
        <v>44</v>
      </c>
      <c r="M8" t="s">
        <v>45</v>
      </c>
      <c r="N8" s="23"/>
    </row>
    <row r="9" spans="1:14">
      <c r="A9" s="16" t="s">
        <v>10</v>
      </c>
      <c r="B9" s="14" t="s">
        <v>39</v>
      </c>
      <c r="C9" s="12" t="s">
        <v>20</v>
      </c>
      <c r="D9" s="23">
        <v>1129</v>
      </c>
      <c r="F9" s="16" t="s">
        <v>10</v>
      </c>
      <c r="G9" s="14" t="s">
        <v>53</v>
      </c>
      <c r="H9" t="s">
        <v>45</v>
      </c>
      <c r="I9" s="23">
        <v>1078</v>
      </c>
      <c r="J9" s="18"/>
      <c r="K9" s="16" t="s">
        <v>10</v>
      </c>
      <c r="L9" s="14" t="s">
        <v>91</v>
      </c>
      <c r="M9" t="s">
        <v>20</v>
      </c>
      <c r="N9" s="23">
        <v>1009</v>
      </c>
    </row>
    <row r="10" spans="1:14">
      <c r="B10" s="14" t="s">
        <v>40</v>
      </c>
      <c r="C10" s="12" t="s">
        <v>20</v>
      </c>
      <c r="D10" s="23"/>
      <c r="F10" s="16"/>
      <c r="G10" s="14" t="s">
        <v>54</v>
      </c>
      <c r="H10" t="s">
        <v>45</v>
      </c>
      <c r="I10" s="23"/>
      <c r="J10" s="18"/>
      <c r="K10" s="16"/>
      <c r="L10" s="14" t="s">
        <v>92</v>
      </c>
      <c r="M10" t="s">
        <v>20</v>
      </c>
      <c r="N10" s="23"/>
    </row>
    <row r="11" spans="1:14">
      <c r="A11" s="16" t="s">
        <v>11</v>
      </c>
      <c r="B11" s="14" t="s">
        <v>122</v>
      </c>
      <c r="C11" t="s">
        <v>20</v>
      </c>
      <c r="D11" s="23">
        <v>1119</v>
      </c>
      <c r="F11" s="16" t="s">
        <v>11</v>
      </c>
      <c r="G11" s="14" t="s">
        <v>51</v>
      </c>
      <c r="H11" t="s">
        <v>45</v>
      </c>
      <c r="I11" s="23">
        <v>1055</v>
      </c>
      <c r="J11" s="18"/>
      <c r="K11" s="16" t="s">
        <v>11</v>
      </c>
      <c r="L11" s="14" t="s">
        <v>31</v>
      </c>
      <c r="M11" t="s">
        <v>22</v>
      </c>
      <c r="N11" s="23">
        <v>1000</v>
      </c>
    </row>
    <row r="12" spans="1:14">
      <c r="B12" s="14" t="s">
        <v>123</v>
      </c>
      <c r="C12" t="s">
        <v>20</v>
      </c>
      <c r="D12" s="23"/>
      <c r="F12" s="16"/>
      <c r="G12" s="14" t="s">
        <v>52</v>
      </c>
      <c r="H12" t="s">
        <v>45</v>
      </c>
      <c r="I12" s="23"/>
      <c r="J12" s="18"/>
      <c r="K12" s="16"/>
      <c r="L12" s="14" t="s">
        <v>32</v>
      </c>
      <c r="M12" t="s">
        <v>22</v>
      </c>
      <c r="N12" s="23"/>
    </row>
    <row r="13" spans="1:14">
      <c r="A13" s="16" t="s">
        <v>12</v>
      </c>
      <c r="B13" t="s">
        <v>36</v>
      </c>
      <c r="C13" s="12" t="s">
        <v>20</v>
      </c>
      <c r="D13" s="23">
        <v>1117</v>
      </c>
      <c r="F13" s="16" t="s">
        <v>12</v>
      </c>
      <c r="G13" t="s">
        <v>25</v>
      </c>
      <c r="H13" t="s">
        <v>20</v>
      </c>
      <c r="I13" s="23">
        <v>971</v>
      </c>
      <c r="J13" s="18"/>
      <c r="K13" s="16" t="s">
        <v>12</v>
      </c>
      <c r="L13" t="s">
        <v>33</v>
      </c>
      <c r="M13" t="s">
        <v>22</v>
      </c>
      <c r="N13" s="23">
        <v>937</v>
      </c>
    </row>
    <row r="14" spans="1:14">
      <c r="B14" t="s">
        <v>38</v>
      </c>
      <c r="C14" s="12" t="s">
        <v>20</v>
      </c>
      <c r="D14" s="23"/>
      <c r="F14" s="16"/>
      <c r="G14" t="s">
        <v>26</v>
      </c>
      <c r="H14" t="s">
        <v>20</v>
      </c>
      <c r="I14" s="23"/>
      <c r="J14" s="18"/>
      <c r="K14" s="16"/>
      <c r="L14" t="s">
        <v>34</v>
      </c>
      <c r="M14" t="s">
        <v>22</v>
      </c>
      <c r="N14" s="23"/>
    </row>
    <row r="15" spans="1:14">
      <c r="A15" s="16" t="s">
        <v>13</v>
      </c>
      <c r="B15" t="s">
        <v>120</v>
      </c>
      <c r="C15" t="s">
        <v>115</v>
      </c>
      <c r="D15" s="23">
        <v>1113</v>
      </c>
      <c r="F15" s="16" t="s">
        <v>13</v>
      </c>
      <c r="G15" t="s">
        <v>29</v>
      </c>
      <c r="H15" t="s">
        <v>21</v>
      </c>
      <c r="I15" s="23">
        <v>935</v>
      </c>
      <c r="J15" s="18"/>
      <c r="K15" s="16" t="s">
        <v>13</v>
      </c>
      <c r="L15" t="s">
        <v>143</v>
      </c>
      <c r="M15" t="s">
        <v>20</v>
      </c>
      <c r="N15" s="23">
        <v>919</v>
      </c>
    </row>
    <row r="16" spans="1:14">
      <c r="B16" t="s">
        <v>121</v>
      </c>
      <c r="C16" t="s">
        <v>115</v>
      </c>
      <c r="D16" s="23"/>
      <c r="F16" s="16"/>
      <c r="G16" t="s">
        <v>30</v>
      </c>
      <c r="H16" t="s">
        <v>21</v>
      </c>
      <c r="I16" s="23"/>
      <c r="J16" s="18"/>
      <c r="K16" s="16"/>
      <c r="L16" t="s">
        <v>144</v>
      </c>
      <c r="M16" t="s">
        <v>20</v>
      </c>
      <c r="N16" s="23"/>
    </row>
    <row r="17" spans="1:14">
      <c r="A17" s="16" t="s">
        <v>14</v>
      </c>
      <c r="B17" t="s">
        <v>132</v>
      </c>
      <c r="C17" t="s">
        <v>126</v>
      </c>
      <c r="D17" s="23">
        <v>1111</v>
      </c>
      <c r="E17" s="29">
        <v>392</v>
      </c>
      <c r="F17" s="16" t="s">
        <v>14</v>
      </c>
      <c r="G17" t="s">
        <v>99</v>
      </c>
      <c r="H17" t="s">
        <v>98</v>
      </c>
      <c r="I17" s="23">
        <v>923</v>
      </c>
      <c r="J17" s="18"/>
      <c r="K17" s="16" t="s">
        <v>14</v>
      </c>
      <c r="L17" t="s">
        <v>41</v>
      </c>
      <c r="M17" t="s">
        <v>45</v>
      </c>
      <c r="N17" s="23">
        <v>854</v>
      </c>
    </row>
    <row r="18" spans="1:14">
      <c r="B18" t="s">
        <v>133</v>
      </c>
      <c r="C18" t="s">
        <v>126</v>
      </c>
      <c r="D18" s="23"/>
      <c r="E18" s="29"/>
      <c r="F18" s="16"/>
      <c r="G18" t="s">
        <v>100</v>
      </c>
      <c r="H18" t="s">
        <v>98</v>
      </c>
      <c r="I18" s="23"/>
      <c r="J18" s="18"/>
      <c r="K18" s="16"/>
      <c r="L18" t="s">
        <v>42</v>
      </c>
      <c r="M18" t="s">
        <v>45</v>
      </c>
      <c r="N18" s="23"/>
    </row>
    <row r="19" spans="1:14">
      <c r="A19" s="16" t="s">
        <v>71</v>
      </c>
      <c r="B19" t="s">
        <v>65</v>
      </c>
      <c r="C19" t="s">
        <v>68</v>
      </c>
      <c r="D19" s="23">
        <v>1104</v>
      </c>
      <c r="E19" s="30">
        <v>366</v>
      </c>
      <c r="F19" s="16" t="s">
        <v>71</v>
      </c>
      <c r="G19" t="s">
        <v>57</v>
      </c>
      <c r="H19" t="s">
        <v>45</v>
      </c>
      <c r="I19" s="23">
        <v>922</v>
      </c>
      <c r="J19" s="18"/>
      <c r="K19" s="16" t="s">
        <v>71</v>
      </c>
      <c r="L19" t="s">
        <v>46</v>
      </c>
      <c r="M19" t="s">
        <v>48</v>
      </c>
      <c r="N19" s="23">
        <v>836</v>
      </c>
    </row>
    <row r="20" spans="1:14">
      <c r="B20" t="s">
        <v>67</v>
      </c>
      <c r="C20" t="s">
        <v>124</v>
      </c>
      <c r="D20" s="23"/>
      <c r="F20" s="16"/>
      <c r="G20" t="s">
        <v>58</v>
      </c>
      <c r="H20" t="s">
        <v>45</v>
      </c>
      <c r="I20" s="23"/>
      <c r="J20" s="18"/>
      <c r="K20" s="16"/>
      <c r="L20" t="s">
        <v>47</v>
      </c>
      <c r="M20" t="s">
        <v>48</v>
      </c>
      <c r="N20" s="23"/>
    </row>
    <row r="21" spans="1:14">
      <c r="A21" s="16" t="s">
        <v>72</v>
      </c>
      <c r="B21" t="s">
        <v>94</v>
      </c>
      <c r="C21" t="s">
        <v>93</v>
      </c>
      <c r="D21" s="23">
        <v>1104</v>
      </c>
      <c r="F21" s="16" t="s">
        <v>72</v>
      </c>
      <c r="G21" t="s">
        <v>101</v>
      </c>
      <c r="H21" t="s">
        <v>98</v>
      </c>
      <c r="I21" s="23">
        <v>919</v>
      </c>
      <c r="J21" s="18"/>
    </row>
    <row r="22" spans="1:14">
      <c r="B22" t="s">
        <v>95</v>
      </c>
      <c r="C22" t="s">
        <v>125</v>
      </c>
      <c r="D22" s="23"/>
      <c r="F22" s="16"/>
      <c r="G22" t="s">
        <v>102</v>
      </c>
      <c r="H22" t="s">
        <v>98</v>
      </c>
      <c r="I22" s="23"/>
      <c r="J22" s="18"/>
    </row>
    <row r="23" spans="1:14">
      <c r="A23" s="16" t="s">
        <v>73</v>
      </c>
      <c r="B23" t="s">
        <v>35</v>
      </c>
      <c r="C23" t="s">
        <v>20</v>
      </c>
      <c r="D23" s="23">
        <v>1102</v>
      </c>
      <c r="F23" s="16" t="s">
        <v>73</v>
      </c>
      <c r="G23" t="s">
        <v>27</v>
      </c>
      <c r="H23" t="s">
        <v>21</v>
      </c>
      <c r="I23" s="23">
        <v>907</v>
      </c>
      <c r="J23" s="18"/>
    </row>
    <row r="24" spans="1:14">
      <c r="B24" t="s">
        <v>37</v>
      </c>
      <c r="C24" t="s">
        <v>20</v>
      </c>
      <c r="D24" s="23"/>
      <c r="F24" s="16"/>
      <c r="G24" t="s">
        <v>28</v>
      </c>
      <c r="H24" t="s">
        <v>21</v>
      </c>
      <c r="I24" s="23"/>
      <c r="J24" s="18"/>
    </row>
    <row r="25" spans="1:14">
      <c r="A25" s="16" t="s">
        <v>74</v>
      </c>
      <c r="B25" t="s">
        <v>116</v>
      </c>
      <c r="C25" t="s">
        <v>20</v>
      </c>
      <c r="D25" s="23">
        <v>1099</v>
      </c>
      <c r="F25" s="16" t="s">
        <v>74</v>
      </c>
      <c r="G25" t="s">
        <v>56</v>
      </c>
      <c r="H25" t="s">
        <v>45</v>
      </c>
      <c r="I25" s="23">
        <v>819</v>
      </c>
      <c r="J25" s="18"/>
    </row>
    <row r="26" spans="1:14">
      <c r="B26" t="s">
        <v>117</v>
      </c>
      <c r="C26" t="s">
        <v>20</v>
      </c>
      <c r="D26" s="23"/>
      <c r="F26" s="16"/>
      <c r="G26" t="s">
        <v>55</v>
      </c>
      <c r="H26" t="s">
        <v>45</v>
      </c>
      <c r="I26" s="23"/>
      <c r="J26" s="18"/>
    </row>
    <row r="27" spans="1:14">
      <c r="A27" s="16" t="s">
        <v>75</v>
      </c>
      <c r="B27" t="s">
        <v>118</v>
      </c>
      <c r="C27" t="s">
        <v>115</v>
      </c>
      <c r="D27" s="23">
        <v>1098</v>
      </c>
      <c r="F27" s="16" t="s">
        <v>75</v>
      </c>
      <c r="G27" t="s">
        <v>89</v>
      </c>
      <c r="H27" t="s">
        <v>20</v>
      </c>
      <c r="I27" s="23">
        <v>782</v>
      </c>
      <c r="J27" s="18"/>
    </row>
    <row r="28" spans="1:14">
      <c r="B28" t="s">
        <v>119</v>
      </c>
      <c r="C28" t="s">
        <v>115</v>
      </c>
      <c r="D28" s="23"/>
      <c r="F28" s="16"/>
      <c r="G28" t="s">
        <v>90</v>
      </c>
      <c r="H28" t="s">
        <v>20</v>
      </c>
      <c r="I28" s="23"/>
      <c r="J28" s="18"/>
    </row>
    <row r="29" spans="1:14">
      <c r="A29" s="16" t="s">
        <v>76</v>
      </c>
      <c r="B29" t="s">
        <v>59</v>
      </c>
      <c r="C29" t="s">
        <v>63</v>
      </c>
      <c r="D29" s="23">
        <v>1081</v>
      </c>
    </row>
    <row r="30" spans="1:14">
      <c r="B30" t="s">
        <v>60</v>
      </c>
      <c r="C30" t="s">
        <v>63</v>
      </c>
      <c r="D30" s="23"/>
    </row>
    <row r="31" spans="1:14">
      <c r="A31" s="16" t="s">
        <v>77</v>
      </c>
      <c r="B31" t="s">
        <v>64</v>
      </c>
      <c r="C31" t="s">
        <v>68</v>
      </c>
      <c r="D31" s="23">
        <v>1070</v>
      </c>
    </row>
    <row r="32" spans="1:14">
      <c r="B32" t="s">
        <v>66</v>
      </c>
      <c r="C32" t="s">
        <v>68</v>
      </c>
      <c r="D32" s="23"/>
    </row>
    <row r="33" spans="1:4">
      <c r="A33" s="16" t="s">
        <v>78</v>
      </c>
      <c r="B33" t="s">
        <v>17</v>
      </c>
      <c r="C33" t="s">
        <v>3</v>
      </c>
      <c r="D33" s="23">
        <v>1061</v>
      </c>
    </row>
    <row r="34" spans="1:4">
      <c r="B34" t="s">
        <v>18</v>
      </c>
      <c r="C34" t="s">
        <v>3</v>
      </c>
      <c r="D34" s="23"/>
    </row>
    <row r="35" spans="1:4">
      <c r="A35" s="16" t="s">
        <v>79</v>
      </c>
      <c r="B35" t="s">
        <v>128</v>
      </c>
      <c r="C35" t="s">
        <v>127</v>
      </c>
      <c r="D35" s="23">
        <v>1058</v>
      </c>
    </row>
    <row r="36" spans="1:4">
      <c r="B36" t="s">
        <v>129</v>
      </c>
      <c r="C36" t="s">
        <v>127</v>
      </c>
      <c r="D36" s="23"/>
    </row>
    <row r="37" spans="1:4">
      <c r="A37" s="16" t="s">
        <v>80</v>
      </c>
      <c r="B37" t="s">
        <v>61</v>
      </c>
      <c r="C37" t="s">
        <v>63</v>
      </c>
      <c r="D37" s="23">
        <v>1052</v>
      </c>
    </row>
    <row r="38" spans="1:4">
      <c r="B38" t="s">
        <v>62</v>
      </c>
      <c r="C38" t="s">
        <v>63</v>
      </c>
      <c r="D38" s="23"/>
    </row>
    <row r="39" spans="1:4">
      <c r="A39" s="16" t="s">
        <v>81</v>
      </c>
      <c r="B39" t="s">
        <v>134</v>
      </c>
      <c r="C39" t="s">
        <v>126</v>
      </c>
      <c r="D39" s="23">
        <v>1019</v>
      </c>
    </row>
    <row r="40" spans="1:4">
      <c r="B40" t="s">
        <v>135</v>
      </c>
      <c r="C40" t="s">
        <v>126</v>
      </c>
      <c r="D40" s="23"/>
    </row>
    <row r="41" spans="1:4">
      <c r="A41" s="16" t="s">
        <v>82</v>
      </c>
      <c r="B41" t="s">
        <v>96</v>
      </c>
      <c r="C41" t="s">
        <v>93</v>
      </c>
      <c r="D41" s="23">
        <v>1006</v>
      </c>
    </row>
    <row r="42" spans="1:4">
      <c r="B42" t="s">
        <v>97</v>
      </c>
      <c r="C42" t="s">
        <v>93</v>
      </c>
      <c r="D42" s="23"/>
    </row>
    <row r="43" spans="1:4">
      <c r="A43" s="16" t="s">
        <v>83</v>
      </c>
      <c r="B43" t="s">
        <v>130</v>
      </c>
      <c r="C43" t="s">
        <v>127</v>
      </c>
      <c r="D43" s="23">
        <v>1005</v>
      </c>
    </row>
    <row r="44" spans="1:4">
      <c r="B44" t="s">
        <v>131</v>
      </c>
      <c r="C44" t="s">
        <v>127</v>
      </c>
      <c r="D44" s="23"/>
    </row>
  </sheetData>
  <mergeCells count="38">
    <mergeCell ref="D43:D44"/>
    <mergeCell ref="D41:D42"/>
    <mergeCell ref="D35:D36"/>
    <mergeCell ref="D37:D38"/>
    <mergeCell ref="D39:D40"/>
    <mergeCell ref="D25:D26"/>
    <mergeCell ref="D27:D28"/>
    <mergeCell ref="D29:D30"/>
    <mergeCell ref="D31:D32"/>
    <mergeCell ref="D33:D34"/>
    <mergeCell ref="I25:I26"/>
    <mergeCell ref="I21:I22"/>
    <mergeCell ref="I27:I28"/>
    <mergeCell ref="D21:D22"/>
    <mergeCell ref="I7:I8"/>
    <mergeCell ref="I9:I10"/>
    <mergeCell ref="I11:I12"/>
    <mergeCell ref="I13:I14"/>
    <mergeCell ref="I15:I16"/>
    <mergeCell ref="I19:I20"/>
    <mergeCell ref="D9:D10"/>
    <mergeCell ref="D11:D12"/>
    <mergeCell ref="D15:D16"/>
    <mergeCell ref="I23:I24"/>
    <mergeCell ref="E17:E18"/>
    <mergeCell ref="D23:D24"/>
    <mergeCell ref="D7:D8"/>
    <mergeCell ref="N15:N16"/>
    <mergeCell ref="N19:N20"/>
    <mergeCell ref="D17:D18"/>
    <mergeCell ref="D19:D20"/>
    <mergeCell ref="D13:D14"/>
    <mergeCell ref="I17:I18"/>
    <mergeCell ref="N11:N12"/>
    <mergeCell ref="N7:N8"/>
    <mergeCell ref="N13:N14"/>
    <mergeCell ref="N17:N18"/>
    <mergeCell ref="N9:N10"/>
  </mergeCells>
  <pageMargins left="0.38" right="0.26" top="0.26" bottom="0.3" header="0.22" footer="0.17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IG.FFI</vt:lpstr>
      <vt:lpstr>AM.FFI</vt:lpstr>
      <vt:lpstr>AM.NŐI</vt:lpstr>
      <vt:lpstr>EGYÉNI</vt:lpstr>
      <vt:lpstr>PÁROS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Árpád</dc:creator>
  <cp:lastModifiedBy>Árpád</cp:lastModifiedBy>
  <cp:lastPrinted>2015-05-31T15:39:31Z</cp:lastPrinted>
  <dcterms:created xsi:type="dcterms:W3CDTF">2015-05-29T19:02:35Z</dcterms:created>
  <dcterms:modified xsi:type="dcterms:W3CDTF">2015-05-31T15:47:24Z</dcterms:modified>
</cp:coreProperties>
</file>