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hiskey\Desktop\Teke\Karácsony kupa 2018\"/>
    </mc:Choice>
  </mc:AlternateContent>
  <bookViews>
    <workbookView xWindow="0" yWindow="0" windowWidth="28800" windowHeight="12480" activeTab="6"/>
  </bookViews>
  <sheets>
    <sheet name="Amatőr Egyéni" sheetId="1" r:id="rId1"/>
    <sheet name="Amatőr csapat" sheetId="2" r:id="rId2"/>
    <sheet name="Női egyéni" sheetId="3" r:id="rId3"/>
    <sheet name="Női csapat" sheetId="4" r:id="rId4"/>
    <sheet name="Igazolt egyéni" sheetId="5" r:id="rId5"/>
    <sheet name="Igazolt csapat" sheetId="6" r:id="rId6"/>
    <sheet name="Legek" sheetId="7" r:id="rId7"/>
  </sheets>
  <definedNames>
    <definedName name="_xlnm._FilterDatabase" localSheetId="1" hidden="1">'Amatőr csapat'!$A$1:$F$21</definedName>
    <definedName name="_xlnm._FilterDatabase" localSheetId="0" hidden="1">'Amatőr Egyéni'!$A$1:$G$83</definedName>
    <definedName name="_xlnm._FilterDatabase" localSheetId="5" hidden="1">'Igazolt csapat'!$B$1:$F$13</definedName>
    <definedName name="_xlnm._FilterDatabase" localSheetId="4" hidden="1">'Igazolt egyéni'!$A$1:$G$49</definedName>
    <definedName name="_xlnm._FilterDatabase" localSheetId="2" hidden="1">'Női egyéni'!$A$1:$G$43</definedName>
  </definedNames>
  <calcPr calcId="162913"/>
</workbook>
</file>

<file path=xl/calcChain.xml><?xml version="1.0" encoding="utf-8"?>
<calcChain xmlns="http://schemas.openxmlformats.org/spreadsheetml/2006/main">
  <c r="E4" i="4" l="1"/>
  <c r="D4" i="4"/>
  <c r="C4" i="4"/>
  <c r="F23" i="3"/>
  <c r="E23" i="3"/>
  <c r="E19" i="3"/>
  <c r="D23" i="3"/>
  <c r="D19" i="3"/>
  <c r="E16" i="3"/>
  <c r="D16" i="3"/>
  <c r="F28" i="3"/>
  <c r="E28" i="3"/>
  <c r="D28" i="3"/>
  <c r="B2" i="7"/>
  <c r="B10" i="7"/>
  <c r="E3" i="6"/>
  <c r="D3" i="6"/>
  <c r="C3" i="6"/>
  <c r="E9" i="6"/>
  <c r="D9" i="6"/>
  <c r="C9" i="6"/>
  <c r="E10" i="5"/>
  <c r="E44" i="5"/>
  <c r="E19" i="5"/>
  <c r="E11" i="5"/>
  <c r="D44" i="5"/>
  <c r="D19" i="5"/>
  <c r="D11" i="5"/>
  <c r="D10" i="5"/>
  <c r="E8" i="6"/>
  <c r="D8" i="6"/>
  <c r="C8" i="6"/>
  <c r="E31" i="5"/>
  <c r="D31" i="5"/>
  <c r="E28" i="5"/>
  <c r="D28" i="5"/>
  <c r="E38" i="5"/>
  <c r="D38" i="5"/>
  <c r="E24" i="5"/>
  <c r="D24" i="5"/>
  <c r="E12" i="6"/>
  <c r="E7" i="6"/>
  <c r="D12" i="6"/>
  <c r="C12" i="6"/>
  <c r="D7" i="6"/>
  <c r="C7" i="6"/>
  <c r="F48" i="5"/>
  <c r="F23" i="5"/>
  <c r="F6" i="5"/>
  <c r="F33" i="5"/>
  <c r="E48" i="5"/>
  <c r="E23" i="5"/>
  <c r="E6" i="5"/>
  <c r="E33" i="5"/>
  <c r="D48" i="5"/>
  <c r="D23" i="5"/>
  <c r="D6" i="5"/>
  <c r="D33" i="5"/>
  <c r="E37" i="5"/>
  <c r="D37" i="5"/>
  <c r="E25" i="5"/>
  <c r="D25" i="5"/>
  <c r="F47" i="5"/>
  <c r="E47" i="5"/>
  <c r="D47" i="5"/>
  <c r="E22" i="5"/>
  <c r="D22" i="5"/>
  <c r="E2" i="6"/>
  <c r="D2" i="6"/>
  <c r="C2" i="6"/>
  <c r="E26" i="5"/>
  <c r="E2" i="5"/>
  <c r="E3" i="5"/>
  <c r="E4" i="5"/>
  <c r="D26" i="5"/>
  <c r="D2" i="5"/>
  <c r="D3" i="5"/>
  <c r="D4" i="5"/>
  <c r="E6" i="6"/>
  <c r="D6" i="6"/>
  <c r="C6" i="6"/>
  <c r="F30" i="5"/>
  <c r="F14" i="5"/>
  <c r="F35" i="5"/>
  <c r="F9" i="5"/>
  <c r="E30" i="5"/>
  <c r="E14" i="5"/>
  <c r="E35" i="5"/>
  <c r="E9" i="5"/>
  <c r="D30" i="5"/>
  <c r="D14" i="5"/>
  <c r="D35" i="5"/>
  <c r="D9" i="5"/>
  <c r="E8" i="2"/>
  <c r="D8" i="2"/>
  <c r="C8" i="2"/>
  <c r="F6" i="3"/>
  <c r="E6" i="3"/>
  <c r="D6" i="3"/>
  <c r="F11" i="3"/>
  <c r="E11" i="3"/>
  <c r="D11" i="3"/>
  <c r="F28" i="1"/>
  <c r="F50" i="1"/>
  <c r="E28" i="1"/>
  <c r="E50" i="1"/>
  <c r="D28" i="1"/>
  <c r="D50" i="1"/>
  <c r="E11" i="2"/>
  <c r="D11" i="2"/>
  <c r="C11" i="2"/>
  <c r="F15" i="3"/>
  <c r="F14" i="3"/>
  <c r="E15" i="3"/>
  <c r="E14" i="3"/>
  <c r="D15" i="3"/>
  <c r="D14" i="3"/>
  <c r="F42" i="1"/>
  <c r="E42" i="1"/>
  <c r="F49" i="1"/>
  <c r="E49" i="1"/>
  <c r="D42" i="1"/>
  <c r="D49" i="1"/>
  <c r="G48" i="5" l="1"/>
  <c r="E11" i="6"/>
  <c r="D11" i="6"/>
  <c r="C11" i="6"/>
  <c r="E19" i="2"/>
  <c r="D19" i="2"/>
  <c r="C19" i="2"/>
  <c r="F60" i="1"/>
  <c r="E60" i="1"/>
  <c r="F70" i="1"/>
  <c r="E70" i="1"/>
  <c r="D60" i="1"/>
  <c r="D70" i="1"/>
  <c r="F41" i="5"/>
  <c r="E41" i="5"/>
  <c r="F34" i="5"/>
  <c r="E34" i="5"/>
  <c r="D41" i="5"/>
  <c r="D34" i="5"/>
  <c r="F29" i="5"/>
  <c r="E29" i="5"/>
  <c r="F42" i="5"/>
  <c r="E42" i="5"/>
  <c r="D29" i="5"/>
  <c r="D42" i="5"/>
  <c r="G42" i="5" s="1"/>
  <c r="F10" i="3"/>
  <c r="E10" i="3"/>
  <c r="F29" i="3"/>
  <c r="E29" i="3"/>
  <c r="D10" i="3"/>
  <c r="D29" i="3"/>
  <c r="E18" i="2"/>
  <c r="D18" i="2"/>
  <c r="C18" i="2"/>
  <c r="F30" i="3"/>
  <c r="E30" i="3"/>
  <c r="D30" i="3"/>
  <c r="F57" i="1"/>
  <c r="F12" i="1"/>
  <c r="F62" i="1"/>
  <c r="E57" i="1"/>
  <c r="E12" i="1"/>
  <c r="E62" i="1"/>
  <c r="D57" i="1"/>
  <c r="D12" i="1"/>
  <c r="D62" i="1"/>
  <c r="E2" i="4"/>
  <c r="D2" i="4"/>
  <c r="C2" i="4"/>
  <c r="F13" i="3"/>
  <c r="F3" i="3"/>
  <c r="F2" i="3"/>
  <c r="F9" i="3"/>
  <c r="E13" i="3"/>
  <c r="E3" i="3"/>
  <c r="E2" i="3"/>
  <c r="E9" i="3"/>
  <c r="D13" i="3"/>
  <c r="D3" i="3"/>
  <c r="D2" i="3"/>
  <c r="D9" i="3"/>
  <c r="E10" i="6"/>
  <c r="D10" i="6"/>
  <c r="C10" i="6"/>
  <c r="F13" i="5"/>
  <c r="F45" i="5"/>
  <c r="F32" i="5"/>
  <c r="F43" i="5"/>
  <c r="E13" i="5"/>
  <c r="E45" i="5"/>
  <c r="E32" i="5"/>
  <c r="E43" i="5"/>
  <c r="D13" i="5"/>
  <c r="D45" i="5"/>
  <c r="D32" i="5"/>
  <c r="D43" i="5"/>
  <c r="F33" i="3"/>
  <c r="F31" i="3"/>
  <c r="E33" i="3"/>
  <c r="E31" i="3"/>
  <c r="D33" i="3"/>
  <c r="D31" i="3"/>
  <c r="F55" i="1"/>
  <c r="F40" i="1"/>
  <c r="E55" i="1"/>
  <c r="E40" i="1"/>
  <c r="D55" i="1"/>
  <c r="D40" i="1"/>
  <c r="G17" i="3"/>
  <c r="F17" i="3"/>
  <c r="E17" i="3"/>
  <c r="D17" i="3"/>
  <c r="E16" i="2"/>
  <c r="F16" i="2"/>
  <c r="D16" i="2"/>
  <c r="C16" i="2"/>
  <c r="E12" i="2"/>
  <c r="D12" i="2"/>
  <c r="C12" i="2"/>
  <c r="F59" i="1"/>
  <c r="F43" i="1"/>
  <c r="E59" i="1"/>
  <c r="E43" i="1"/>
  <c r="D59" i="1"/>
  <c r="D43" i="1"/>
  <c r="F67" i="1"/>
  <c r="F20" i="1"/>
  <c r="E67" i="1"/>
  <c r="E20" i="1"/>
  <c r="D67" i="1"/>
  <c r="D20" i="1"/>
  <c r="F61" i="1"/>
  <c r="F31" i="1"/>
  <c r="E61" i="1"/>
  <c r="E31" i="1"/>
  <c r="D61" i="1"/>
  <c r="D31" i="1"/>
  <c r="F21" i="1"/>
  <c r="E21" i="1"/>
  <c r="D21" i="1"/>
  <c r="B23" i="7"/>
  <c r="M19" i="7" s="1"/>
  <c r="B24" i="7"/>
  <c r="K20" i="7" s="1"/>
  <c r="B22" i="7"/>
  <c r="L18" i="7" s="1"/>
  <c r="B19" i="7"/>
  <c r="Q19" i="7" s="1"/>
  <c r="B20" i="7"/>
  <c r="O20" i="7" s="1"/>
  <c r="B18" i="7"/>
  <c r="P18" i="7" s="1"/>
  <c r="B15" i="7"/>
  <c r="M33" i="7" s="1"/>
  <c r="B16" i="7"/>
  <c r="K34" i="7" s="1"/>
  <c r="B14" i="7"/>
  <c r="L32" i="7" s="1"/>
  <c r="D11" i="7"/>
  <c r="D12" i="7"/>
  <c r="D10" i="7"/>
  <c r="B11" i="7"/>
  <c r="Q33" i="7" s="1"/>
  <c r="B12" i="7"/>
  <c r="O34" i="7" s="1"/>
  <c r="P31" i="7"/>
  <c r="B7" i="7"/>
  <c r="M7" i="7" s="1"/>
  <c r="B8" i="7"/>
  <c r="K8" i="7" s="1"/>
  <c r="B6" i="7"/>
  <c r="L6" i="7" s="1"/>
  <c r="Q7" i="7"/>
  <c r="O8" i="7"/>
  <c r="P6" i="7"/>
  <c r="F2" i="2"/>
  <c r="C14" i="7" s="1"/>
  <c r="L33" i="7" s="1"/>
  <c r="E2" i="2"/>
  <c r="D2" i="2"/>
  <c r="C2" i="2"/>
  <c r="F6" i="1"/>
  <c r="F2" i="1"/>
  <c r="F18" i="1"/>
  <c r="F3" i="1"/>
  <c r="E6" i="1"/>
  <c r="E2" i="1"/>
  <c r="E18" i="1"/>
  <c r="E3" i="1"/>
  <c r="D6" i="1"/>
  <c r="D2" i="1"/>
  <c r="D18" i="1"/>
  <c r="D3" i="1"/>
  <c r="G29" i="5" l="1"/>
  <c r="G41" i="5"/>
  <c r="G34" i="5"/>
  <c r="E6" i="2"/>
  <c r="D6" i="2"/>
  <c r="C6" i="2"/>
  <c r="F19" i="1"/>
  <c r="F29" i="1"/>
  <c r="F4" i="1"/>
  <c r="F53" i="1"/>
  <c r="E19" i="1"/>
  <c r="E29" i="1"/>
  <c r="E4" i="1"/>
  <c r="E53" i="1"/>
  <c r="D19" i="1"/>
  <c r="D29" i="1"/>
  <c r="D4" i="1"/>
  <c r="D53" i="1"/>
  <c r="E4" i="6" l="1"/>
  <c r="D4" i="6"/>
  <c r="C4" i="6"/>
  <c r="E7" i="2"/>
  <c r="D7" i="2"/>
  <c r="C7" i="2"/>
  <c r="F23" i="1"/>
  <c r="E23" i="1"/>
  <c r="D23" i="1"/>
  <c r="F33" i="1"/>
  <c r="E33" i="1"/>
  <c r="D33" i="1"/>
  <c r="F47" i="1"/>
  <c r="E47" i="1"/>
  <c r="D47" i="1"/>
  <c r="F10" i="1"/>
  <c r="E10" i="1"/>
  <c r="D10" i="1"/>
  <c r="F18" i="5"/>
  <c r="E18" i="5"/>
  <c r="D18" i="5"/>
  <c r="F16" i="5"/>
  <c r="E16" i="5"/>
  <c r="D16" i="5"/>
  <c r="F40" i="5"/>
  <c r="E40" i="5"/>
  <c r="D40" i="5"/>
  <c r="E5" i="5"/>
  <c r="D5" i="5"/>
  <c r="F27" i="5"/>
  <c r="E27" i="5"/>
  <c r="D27" i="5"/>
  <c r="F12" i="5"/>
  <c r="F15" i="5"/>
  <c r="E12" i="5"/>
  <c r="D12" i="5"/>
  <c r="E15" i="5"/>
  <c r="D15" i="5"/>
  <c r="F8" i="5"/>
  <c r="E8" i="5"/>
  <c r="D8" i="5"/>
  <c r="F71" i="1"/>
  <c r="E71" i="1"/>
  <c r="D71" i="1"/>
  <c r="F56" i="1"/>
  <c r="G56" i="1"/>
  <c r="E56" i="1"/>
  <c r="D56" i="1"/>
  <c r="F7" i="1"/>
  <c r="G7" i="1"/>
  <c r="E7" i="1"/>
  <c r="D7" i="1"/>
  <c r="F22" i="1"/>
  <c r="E22" i="1"/>
  <c r="D22" i="1"/>
  <c r="E5" i="2"/>
  <c r="D5" i="2"/>
  <c r="C5" i="2"/>
  <c r="F39" i="1"/>
  <c r="E39" i="1"/>
  <c r="D39" i="1"/>
  <c r="F17" i="1"/>
  <c r="E17" i="1"/>
  <c r="D17" i="1"/>
  <c r="F13" i="1"/>
  <c r="E13" i="1"/>
  <c r="D13" i="1"/>
  <c r="F4" i="3"/>
  <c r="E4" i="3"/>
  <c r="D4" i="3"/>
  <c r="G4" i="3"/>
  <c r="D14" i="2"/>
  <c r="E38" i="1"/>
  <c r="E5" i="6"/>
  <c r="D5" i="6"/>
  <c r="C5" i="6"/>
  <c r="F20" i="5"/>
  <c r="E20" i="5"/>
  <c r="D20" i="5"/>
  <c r="F17" i="5"/>
  <c r="E17" i="5"/>
  <c r="D17" i="5"/>
  <c r="E13" i="2"/>
  <c r="D13" i="2"/>
  <c r="C13" i="2"/>
  <c r="F27" i="1"/>
  <c r="F26" i="1"/>
  <c r="E27" i="1"/>
  <c r="E26" i="1"/>
  <c r="D27" i="1"/>
  <c r="D26" i="1"/>
  <c r="E13" i="6"/>
  <c r="D13" i="6"/>
  <c r="C13" i="6"/>
  <c r="F39" i="5"/>
  <c r="E39" i="5"/>
  <c r="D39" i="5"/>
  <c r="F21" i="5"/>
  <c r="E21" i="5"/>
  <c r="D21" i="5"/>
  <c r="F65" i="1"/>
  <c r="E65" i="1"/>
  <c r="D65" i="1"/>
  <c r="F35" i="1"/>
  <c r="E35" i="1"/>
  <c r="D35" i="1"/>
  <c r="F46" i="5"/>
  <c r="E46" i="5"/>
  <c r="D46" i="5"/>
  <c r="F49" i="5"/>
  <c r="E49" i="5"/>
  <c r="D49" i="5"/>
  <c r="F7" i="5"/>
  <c r="E7" i="5"/>
  <c r="D7" i="5"/>
  <c r="F36" i="5"/>
  <c r="E36" i="5"/>
  <c r="D36" i="5"/>
  <c r="F37" i="1" l="1"/>
  <c r="E37" i="1"/>
  <c r="F41" i="1"/>
  <c r="E41" i="1"/>
  <c r="D37" i="1"/>
  <c r="D41" i="1"/>
  <c r="E4" i="2"/>
  <c r="D4" i="2"/>
  <c r="C4" i="2"/>
  <c r="F15" i="1"/>
  <c r="F30" i="1"/>
  <c r="F24" i="1"/>
  <c r="F8" i="1"/>
  <c r="E15" i="1"/>
  <c r="E30" i="1"/>
  <c r="E24" i="1"/>
  <c r="E8" i="1"/>
  <c r="D15" i="1"/>
  <c r="D30" i="1"/>
  <c r="D24" i="1"/>
  <c r="D8" i="1"/>
  <c r="E10" i="2"/>
  <c r="D10" i="2"/>
  <c r="C10" i="2"/>
  <c r="F25" i="1"/>
  <c r="F44" i="1"/>
  <c r="F58" i="1"/>
  <c r="F34" i="1"/>
  <c r="E25" i="1"/>
  <c r="E44" i="1"/>
  <c r="E58" i="1"/>
  <c r="E34" i="1"/>
  <c r="D25" i="1"/>
  <c r="D44" i="1"/>
  <c r="D58" i="1"/>
  <c r="D34" i="1"/>
  <c r="E14" i="2"/>
  <c r="C14" i="2"/>
  <c r="F14" i="2" s="1"/>
  <c r="E20" i="2"/>
  <c r="D20" i="2"/>
  <c r="C20" i="2"/>
  <c r="F36" i="1"/>
  <c r="E36" i="1"/>
  <c r="D36" i="1"/>
  <c r="F38" i="1"/>
  <c r="D38" i="1"/>
  <c r="F25" i="3"/>
  <c r="E25" i="3"/>
  <c r="D25" i="3"/>
  <c r="F32" i="3"/>
  <c r="E32" i="3"/>
  <c r="D32" i="3"/>
  <c r="F22" i="3"/>
  <c r="F5" i="3"/>
  <c r="F26" i="3"/>
  <c r="F27" i="3"/>
  <c r="E22" i="3"/>
  <c r="E5" i="3"/>
  <c r="E26" i="3"/>
  <c r="E27" i="3"/>
  <c r="D22" i="3"/>
  <c r="D5" i="3"/>
  <c r="D26" i="3"/>
  <c r="D27" i="3"/>
  <c r="E21" i="2"/>
  <c r="D21" i="2"/>
  <c r="C21" i="2"/>
  <c r="F21" i="2" s="1"/>
  <c r="F68" i="1"/>
  <c r="F66" i="1"/>
  <c r="F69" i="1"/>
  <c r="F54" i="1"/>
  <c r="E68" i="1"/>
  <c r="E66" i="1"/>
  <c r="E54" i="1"/>
  <c r="E69" i="1"/>
  <c r="D68" i="1"/>
  <c r="D66" i="1"/>
  <c r="D54" i="1"/>
  <c r="D69" i="1"/>
  <c r="E3" i="2"/>
  <c r="D3" i="2"/>
  <c r="C3" i="2"/>
  <c r="F3" i="2" s="1"/>
  <c r="C15" i="7" s="1"/>
  <c r="M34" i="7" s="1"/>
  <c r="E11" i="1"/>
  <c r="F11" i="1"/>
  <c r="F14" i="1"/>
  <c r="E14" i="1"/>
  <c r="F5" i="1"/>
  <c r="E5" i="1"/>
  <c r="D11" i="1"/>
  <c r="D14" i="1"/>
  <c r="D5" i="1"/>
  <c r="F16" i="1"/>
  <c r="E16" i="1"/>
  <c r="D16" i="1"/>
  <c r="F8" i="2"/>
  <c r="F11" i="2"/>
  <c r="F6" i="2"/>
  <c r="F5" i="2"/>
  <c r="F18" i="2"/>
  <c r="F12" i="2"/>
  <c r="F13" i="2"/>
  <c r="F19" i="2"/>
  <c r="F20" i="2"/>
  <c r="F7" i="2"/>
  <c r="E9" i="2"/>
  <c r="D9" i="2"/>
  <c r="C9" i="2"/>
  <c r="F9" i="2" s="1"/>
  <c r="F48" i="1"/>
  <c r="E48" i="1"/>
  <c r="D48" i="1"/>
  <c r="F9" i="1"/>
  <c r="E9" i="1"/>
  <c r="D9" i="1"/>
  <c r="F51" i="1"/>
  <c r="E51" i="1"/>
  <c r="D51" i="1"/>
  <c r="F52" i="1"/>
  <c r="E52" i="1"/>
  <c r="D52" i="1"/>
  <c r="F4" i="2" l="1"/>
  <c r="C16" i="7" s="1"/>
  <c r="K35" i="7" s="1"/>
  <c r="F10" i="2"/>
  <c r="F18" i="3"/>
  <c r="F20" i="3"/>
  <c r="F7" i="3"/>
  <c r="F21" i="3"/>
  <c r="E3" i="4"/>
  <c r="D3" i="4"/>
  <c r="C3" i="4"/>
  <c r="F3" i="4" s="1"/>
  <c r="C23" i="7" s="1"/>
  <c r="M20" i="7" s="1"/>
  <c r="E18" i="3"/>
  <c r="E20" i="3"/>
  <c r="E7" i="3"/>
  <c r="E21" i="3"/>
  <c r="D18" i="3"/>
  <c r="D20" i="3"/>
  <c r="D7" i="3"/>
  <c r="D21" i="3"/>
  <c r="F2" i="4"/>
  <c r="F4" i="4"/>
  <c r="E15" i="2"/>
  <c r="D15" i="2"/>
  <c r="C15" i="2"/>
  <c r="F15" i="2" s="1"/>
  <c r="F11" i="6"/>
  <c r="F10" i="6"/>
  <c r="F12" i="6"/>
  <c r="F13" i="6"/>
  <c r="F7" i="6"/>
  <c r="F6" i="6"/>
  <c r="F3" i="6"/>
  <c r="F9" i="6"/>
  <c r="F5" i="6"/>
  <c r="F8" i="6"/>
  <c r="C7" i="7" s="1"/>
  <c r="M8" i="7" s="1"/>
  <c r="F2" i="6"/>
  <c r="F4" i="6"/>
  <c r="G13" i="5"/>
  <c r="G45" i="5"/>
  <c r="G47" i="5"/>
  <c r="G32" i="5"/>
  <c r="G39" i="5"/>
  <c r="G43" i="5"/>
  <c r="G23" i="5"/>
  <c r="G46" i="5"/>
  <c r="G30" i="5"/>
  <c r="G44" i="5"/>
  <c r="G22" i="5"/>
  <c r="G25" i="5"/>
  <c r="G26" i="5"/>
  <c r="G28" i="5"/>
  <c r="G6" i="5"/>
  <c r="G19" i="5"/>
  <c r="G5" i="5"/>
  <c r="G38" i="5"/>
  <c r="G31" i="5"/>
  <c r="G20" i="5"/>
  <c r="G2" i="5"/>
  <c r="G14" i="5"/>
  <c r="G49" i="5"/>
  <c r="G35" i="5"/>
  <c r="G7" i="5"/>
  <c r="G9" i="5"/>
  <c r="G21" i="5"/>
  <c r="G27" i="5"/>
  <c r="G33" i="5"/>
  <c r="G24" i="5"/>
  <c r="G36" i="5"/>
  <c r="G40" i="5"/>
  <c r="G11" i="5"/>
  <c r="G8" i="5"/>
  <c r="G12" i="5"/>
  <c r="G15" i="5"/>
  <c r="G10" i="5"/>
  <c r="G17" i="5"/>
  <c r="G16" i="5"/>
  <c r="G3" i="5"/>
  <c r="G37" i="5"/>
  <c r="G4" i="5"/>
  <c r="G18" i="5"/>
  <c r="G43" i="3"/>
  <c r="G42" i="3"/>
  <c r="G41" i="3"/>
  <c r="G40" i="3"/>
  <c r="G39" i="3"/>
  <c r="G38" i="3"/>
  <c r="G37" i="3"/>
  <c r="G36" i="3"/>
  <c r="G35" i="3"/>
  <c r="G34" i="3"/>
  <c r="G23" i="3"/>
  <c r="G19" i="3"/>
  <c r="G16" i="3"/>
  <c r="G28" i="3"/>
  <c r="G6" i="3"/>
  <c r="G11" i="3"/>
  <c r="G15" i="3"/>
  <c r="G14" i="3"/>
  <c r="G10" i="3"/>
  <c r="G29" i="3"/>
  <c r="G30" i="3"/>
  <c r="G13" i="3"/>
  <c r="G3" i="3"/>
  <c r="G2" i="3"/>
  <c r="C18" i="7" s="1"/>
  <c r="P19" i="7" s="1"/>
  <c r="G9" i="3"/>
  <c r="G33" i="3"/>
  <c r="G31" i="3"/>
  <c r="G22" i="3"/>
  <c r="G5" i="3"/>
  <c r="G25" i="3"/>
  <c r="G32" i="3"/>
  <c r="G26" i="3"/>
  <c r="G27" i="3"/>
  <c r="F24" i="3"/>
  <c r="E24" i="3"/>
  <c r="D24" i="3"/>
  <c r="G24" i="3" s="1"/>
  <c r="F8" i="3"/>
  <c r="E8" i="3"/>
  <c r="D8" i="3"/>
  <c r="F12" i="3"/>
  <c r="E12" i="3"/>
  <c r="D12" i="3"/>
  <c r="E17" i="2"/>
  <c r="D17" i="2"/>
  <c r="C17" i="2"/>
  <c r="F17" i="2" s="1"/>
  <c r="G80" i="1"/>
  <c r="G79" i="1"/>
  <c r="G78" i="1"/>
  <c r="G77" i="1"/>
  <c r="G76" i="1"/>
  <c r="G75" i="1"/>
  <c r="G74" i="1"/>
  <c r="G73" i="1"/>
  <c r="G72" i="1"/>
  <c r="G28" i="1"/>
  <c r="G50" i="1"/>
  <c r="G42" i="1"/>
  <c r="G49" i="1"/>
  <c r="G60" i="1"/>
  <c r="G70" i="1"/>
  <c r="G57" i="1"/>
  <c r="G12" i="1"/>
  <c r="G62" i="1"/>
  <c r="G55" i="1"/>
  <c r="G6" i="1"/>
  <c r="G2" i="1"/>
  <c r="C10" i="7" s="1"/>
  <c r="P33" i="7" s="1"/>
  <c r="G18" i="1"/>
  <c r="G3" i="1"/>
  <c r="C11" i="7" s="1"/>
  <c r="Q34" i="7" s="1"/>
  <c r="G59" i="1"/>
  <c r="G43" i="1"/>
  <c r="G40" i="1"/>
  <c r="G21" i="1"/>
  <c r="G67" i="1"/>
  <c r="G20" i="1"/>
  <c r="G61" i="1"/>
  <c r="G31" i="1"/>
  <c r="G19" i="1"/>
  <c r="G29" i="1"/>
  <c r="G4" i="1"/>
  <c r="C12" i="7" s="1"/>
  <c r="O35" i="7" s="1"/>
  <c r="G53" i="1"/>
  <c r="G23" i="1"/>
  <c r="G33" i="1"/>
  <c r="G47" i="1"/>
  <c r="G10" i="1"/>
  <c r="G71" i="1"/>
  <c r="G22" i="1"/>
  <c r="G13" i="1"/>
  <c r="G17" i="1"/>
  <c r="G39" i="1"/>
  <c r="G27" i="1"/>
  <c r="G26" i="1"/>
  <c r="G65" i="1"/>
  <c r="G35" i="1"/>
  <c r="G37" i="1"/>
  <c r="G41" i="1"/>
  <c r="G15" i="1"/>
  <c r="G30" i="1"/>
  <c r="G24" i="1"/>
  <c r="G8" i="1"/>
  <c r="G25" i="1"/>
  <c r="G44" i="1"/>
  <c r="G58" i="1"/>
  <c r="G34" i="1"/>
  <c r="G36" i="1"/>
  <c r="G38" i="1"/>
  <c r="G68" i="1"/>
  <c r="G66" i="1"/>
  <c r="G54" i="1"/>
  <c r="G69" i="1"/>
  <c r="G11" i="1"/>
  <c r="G14" i="1"/>
  <c r="G5" i="1"/>
  <c r="G16" i="1"/>
  <c r="G48" i="1"/>
  <c r="G9" i="1"/>
  <c r="G51" i="1"/>
  <c r="G52" i="1"/>
  <c r="F63" i="1"/>
  <c r="E63" i="1"/>
  <c r="D63" i="1"/>
  <c r="F32" i="1"/>
  <c r="E32" i="1"/>
  <c r="D32" i="1"/>
  <c r="F46" i="1"/>
  <c r="E46" i="1"/>
  <c r="D46" i="1"/>
  <c r="G46" i="1" s="1"/>
  <c r="F45" i="1"/>
  <c r="E45" i="1"/>
  <c r="D45" i="1"/>
  <c r="G45" i="1" s="1"/>
  <c r="F64" i="1"/>
  <c r="E64" i="1"/>
  <c r="D64" i="1"/>
  <c r="G64" i="1" s="1"/>
  <c r="O9" i="7" l="1"/>
  <c r="C8" i="7"/>
  <c r="K9" i="7" s="1"/>
  <c r="C6" i="7"/>
  <c r="L7" i="7" s="1"/>
  <c r="Q8" i="7"/>
  <c r="C2" i="7"/>
  <c r="P7" i="7" s="1"/>
  <c r="C19" i="7"/>
  <c r="Q20" i="7" s="1"/>
  <c r="C24" i="7"/>
  <c r="K21" i="7" s="1"/>
  <c r="C22" i="7"/>
  <c r="L19" i="7" s="1"/>
  <c r="G63" i="1"/>
  <c r="G8" i="3"/>
  <c r="G32" i="1"/>
  <c r="G12" i="3"/>
  <c r="G18" i="3"/>
  <c r="G20" i="3"/>
  <c r="G7" i="3"/>
  <c r="C20" i="7" s="1"/>
  <c r="O21" i="7" s="1"/>
  <c r="G21" i="3"/>
</calcChain>
</file>

<file path=xl/sharedStrings.xml><?xml version="1.0" encoding="utf-8"?>
<sst xmlns="http://schemas.openxmlformats.org/spreadsheetml/2006/main" count="429" uniqueCount="230">
  <si>
    <t>Heyezés</t>
  </si>
  <si>
    <t>Csapat neve</t>
  </si>
  <si>
    <t>Teli</t>
  </si>
  <si>
    <t>Tarolás</t>
  </si>
  <si>
    <t xml:space="preserve">Üres </t>
  </si>
  <si>
    <t>Össz. Eredmény</t>
  </si>
  <si>
    <t>Claas Hungária Törökszentmiklós</t>
  </si>
  <si>
    <t>Név</t>
  </si>
  <si>
    <t>Tonnesné Kiss Ildikó</t>
  </si>
  <si>
    <t>Oláh Sándor</t>
  </si>
  <si>
    <t>Plusz1fa Szentes</t>
  </si>
  <si>
    <t>VILLJAV Debrecen</t>
  </si>
  <si>
    <t>Ceglédi vállalkozók</t>
  </si>
  <si>
    <t>Plusz 1 fa</t>
  </si>
  <si>
    <t>HFTK I.</t>
  </si>
  <si>
    <t>Bagi Metál Szank</t>
  </si>
  <si>
    <t>Füstös BK Szank</t>
  </si>
  <si>
    <t>HFTK II.</t>
  </si>
  <si>
    <t>Rákóczifalva</t>
  </si>
  <si>
    <t>Dúc-Bau Kft Törökszentmiklós</t>
  </si>
  <si>
    <t>ABB</t>
  </si>
  <si>
    <t>Kecskeméti MÁV</t>
  </si>
  <si>
    <t>KMKK Szolnok</t>
  </si>
  <si>
    <t>Hobby SE</t>
  </si>
  <si>
    <t>Ex Közút Kecskemét</t>
  </si>
  <si>
    <t>PMK Kecskemét</t>
  </si>
  <si>
    <t>Balogh Mária</t>
  </si>
  <si>
    <t>Asztalos Erzsébet</t>
  </si>
  <si>
    <t>Hajnal András</t>
  </si>
  <si>
    <t>Máté György</t>
  </si>
  <si>
    <t>Szabó Lajos</t>
  </si>
  <si>
    <t>Kovács Attila</t>
  </si>
  <si>
    <t>Claas Hungária II.</t>
  </si>
  <si>
    <t xml:space="preserve">BTK Viktória </t>
  </si>
  <si>
    <t>Csak Csajok</t>
  </si>
  <si>
    <t>Bíró Ervin</t>
  </si>
  <si>
    <t>Szolnoki MÁV I.</t>
  </si>
  <si>
    <t>Sáfár Zoltán</t>
  </si>
  <si>
    <t>BTK I.</t>
  </si>
  <si>
    <t>MAFC II.</t>
  </si>
  <si>
    <t>Földi József</t>
  </si>
  <si>
    <t>Szolnoki MÁV II.</t>
  </si>
  <si>
    <t>Szabics Krisztián</t>
  </si>
  <si>
    <t>Szegvár I.</t>
  </si>
  <si>
    <t>Bene Ferenc</t>
  </si>
  <si>
    <t>Tiszakécske II.</t>
  </si>
  <si>
    <t>Somodi Károly</t>
  </si>
  <si>
    <t>Kokavecz Dávid</t>
  </si>
  <si>
    <t>Tiszakécske I.</t>
  </si>
  <si>
    <t>Falkus Dániel</t>
  </si>
  <si>
    <t>Szabó Gábor</t>
  </si>
  <si>
    <t>Vanyúr István</t>
  </si>
  <si>
    <t>Bordács Sándor</t>
  </si>
  <si>
    <t>MAFC I.</t>
  </si>
  <si>
    <t>Tóth Bagi József</t>
  </si>
  <si>
    <t>Szanki OBSE</t>
  </si>
  <si>
    <t>Szegvár II.</t>
  </si>
  <si>
    <t>Kállai Zoltán</t>
  </si>
  <si>
    <t>Cserényi Lajos</t>
  </si>
  <si>
    <t>Kiss Viktor</t>
  </si>
  <si>
    <t>Kokavecz Gergő</t>
  </si>
  <si>
    <t>Rácz Sándor</t>
  </si>
  <si>
    <t>Kokavecz Ferenc</t>
  </si>
  <si>
    <t>Márton Ferenc</t>
  </si>
  <si>
    <t>Simon Zoltán</t>
  </si>
  <si>
    <t>Fodor István</t>
  </si>
  <si>
    <t>Petrovácz László</t>
  </si>
  <si>
    <t>Amatőr csapat</t>
  </si>
  <si>
    <t>Rávai Viktor</t>
  </si>
  <si>
    <t>Amatőr Egyéni</t>
  </si>
  <si>
    <t>Igazolt Egyéni I.</t>
  </si>
  <si>
    <t>Igazolt Egyéni II.</t>
  </si>
  <si>
    <t>Igazolt Egyéni III.</t>
  </si>
  <si>
    <t>Igazolt Csapat I.</t>
  </si>
  <si>
    <t>BTK II.</t>
  </si>
  <si>
    <t>Gila Sándor</t>
  </si>
  <si>
    <t>Sipos Csaba</t>
  </si>
  <si>
    <t>Szarka Tibor</t>
  </si>
  <si>
    <t>Igazolt Csapat II.</t>
  </si>
  <si>
    <t>Nyíregyházi TK</t>
  </si>
  <si>
    <t>Fejes Tamás</t>
  </si>
  <si>
    <t>Igazolt Csapat III.</t>
  </si>
  <si>
    <t>I.</t>
  </si>
  <si>
    <t>II.</t>
  </si>
  <si>
    <t>Amatőr Egyéni I.</t>
  </si>
  <si>
    <t>III.</t>
  </si>
  <si>
    <t>Amatőr Egyéni II.</t>
  </si>
  <si>
    <t>Amatőr Egyéni III.</t>
  </si>
  <si>
    <t>Női Csapat</t>
  </si>
  <si>
    <t>Női Egyéni</t>
  </si>
  <si>
    <t>Amatőr Csapat I.</t>
  </si>
  <si>
    <t>Amatőr Csapat II.</t>
  </si>
  <si>
    <t>Amatőr Csapat III.</t>
  </si>
  <si>
    <t>Női Egyéni I.</t>
  </si>
  <si>
    <t>Női Egyéni II.</t>
  </si>
  <si>
    <t>Női Egyéni III.</t>
  </si>
  <si>
    <t>Női Csapat I.</t>
  </si>
  <si>
    <t>Női Csapat II.</t>
  </si>
  <si>
    <t>Női Csapat III.</t>
  </si>
  <si>
    <t>Legjobb Teliző</t>
  </si>
  <si>
    <t>Igazolt csapat</t>
  </si>
  <si>
    <t>Igazolt Egyéni</t>
  </si>
  <si>
    <t>Legjobb Taroló</t>
  </si>
  <si>
    <t>Legjobb Tiszakécskei</t>
  </si>
  <si>
    <t>Legjobb Ifjúsági</t>
  </si>
  <si>
    <t>Abszolút Legjobb</t>
  </si>
  <si>
    <t>Gajdos Violetta</t>
  </si>
  <si>
    <t>Csorba Enikő</t>
  </si>
  <si>
    <t>Szeri Zsuzsa</t>
  </si>
  <si>
    <t>Berki Zita</t>
  </si>
  <si>
    <t>Benyhe K. Sándor</t>
  </si>
  <si>
    <t>Szabó Sándor</t>
  </si>
  <si>
    <t>Kovács István</t>
  </si>
  <si>
    <t>Lóczi János</t>
  </si>
  <si>
    <t>Szkurák Zoltán</t>
  </si>
  <si>
    <t>Angyal Péter</t>
  </si>
  <si>
    <t>Oláh Gábor</t>
  </si>
  <si>
    <t>Majoros István</t>
  </si>
  <si>
    <t>Kiss István</t>
  </si>
  <si>
    <t>Czinege Bertalan</t>
  </si>
  <si>
    <t>Kiss Lajos</t>
  </si>
  <si>
    <t>Futó Ferenc</t>
  </si>
  <si>
    <t>Ex. Közút Kecskemét</t>
  </si>
  <si>
    <t>Bacsur Csilla</t>
  </si>
  <si>
    <t>Madaras Ági</t>
  </si>
  <si>
    <t>Radványiné Cili</t>
  </si>
  <si>
    <t>Vadász Ilona</t>
  </si>
  <si>
    <t>Zombori Tünde</t>
  </si>
  <si>
    <t>Nagy Mária</t>
  </si>
  <si>
    <t>Halmi László</t>
  </si>
  <si>
    <t>Szijj József</t>
  </si>
  <si>
    <t>Szepesi András</t>
  </si>
  <si>
    <t>Csiszár Ottó</t>
  </si>
  <si>
    <t>Claas Hungária Törökszentmiklós II.</t>
  </si>
  <si>
    <t>Rőszer József</t>
  </si>
  <si>
    <t>Dúc-Bau Kft.</t>
  </si>
  <si>
    <t>Csiki Tibor</t>
  </si>
  <si>
    <t>Holp József</t>
  </si>
  <si>
    <t>Nádas István</t>
  </si>
  <si>
    <t>Egyéni induló</t>
  </si>
  <si>
    <t>Fuvó Milán (Ifi)</t>
  </si>
  <si>
    <t>Puskás Bence (Ifi)</t>
  </si>
  <si>
    <t>Bereczki Zsolt(Ifi)</t>
  </si>
  <si>
    <t>Hajdú Zoltán</t>
  </si>
  <si>
    <t>Stercz Péter</t>
  </si>
  <si>
    <t>Urbán-Szabó János</t>
  </si>
  <si>
    <t>Pomázi István</t>
  </si>
  <si>
    <t>Héja László</t>
  </si>
  <si>
    <t>Deák Ferenc</t>
  </si>
  <si>
    <t>NKM Elektromos SE Szeged</t>
  </si>
  <si>
    <t>Busa Endre</t>
  </si>
  <si>
    <t>Balog Péter</t>
  </si>
  <si>
    <t>Ifj. Rácz Sándor(Ifi)</t>
  </si>
  <si>
    <t>Claas Hungária I.</t>
  </si>
  <si>
    <t>Pintér Lajos</t>
  </si>
  <si>
    <t>Sléder Ferenc</t>
  </si>
  <si>
    <t>Hajdú József</t>
  </si>
  <si>
    <t>Bíró Norbert</t>
  </si>
  <si>
    <t>Benke Zoltán</t>
  </si>
  <si>
    <t>Sonkoly László</t>
  </si>
  <si>
    <t>Kosuch György</t>
  </si>
  <si>
    <t>Horváth Hajnalka</t>
  </si>
  <si>
    <t>Scheibli Zoltán</t>
  </si>
  <si>
    <t xml:space="preserve">NKM Elektromos SE </t>
  </si>
  <si>
    <t>Hernek Zoltán</t>
  </si>
  <si>
    <t>Nagy István</t>
  </si>
  <si>
    <t>Kiss László</t>
  </si>
  <si>
    <t>Ifj. Nagy István</t>
  </si>
  <si>
    <t>Tiszakécske Amatőr</t>
  </si>
  <si>
    <t>Lengyel Pál</t>
  </si>
  <si>
    <t>Ribnikár István</t>
  </si>
  <si>
    <t>Bakhi Gábor</t>
  </si>
  <si>
    <t>Bakhi János</t>
  </si>
  <si>
    <t>HÓD-Boys</t>
  </si>
  <si>
    <t>Ifj. Csanki István</t>
  </si>
  <si>
    <t>Szunyi József</t>
  </si>
  <si>
    <t>Rakonczai Tibor</t>
  </si>
  <si>
    <t>Rakonczai Benjámin</t>
  </si>
  <si>
    <t>Nagy Péter</t>
  </si>
  <si>
    <t>Nagy Enikő</t>
  </si>
  <si>
    <t>Szvoboda László</t>
  </si>
  <si>
    <t>Bordács Lajos</t>
  </si>
  <si>
    <t>tarolás</t>
  </si>
  <si>
    <t>Tiszakécske Női</t>
  </si>
  <si>
    <t>Kécske Amatőr</t>
  </si>
  <si>
    <t>Nagyhegyesiné Kiss Klára</t>
  </si>
  <si>
    <t>Kiss Alexandra</t>
  </si>
  <si>
    <t>Piroska János</t>
  </si>
  <si>
    <t>Szőke Tamás</t>
  </si>
  <si>
    <t>BTK Viktória</t>
  </si>
  <si>
    <t>Mártonné Ruszanov Márta</t>
  </si>
  <si>
    <t>Bene Ferencné</t>
  </si>
  <si>
    <t>Bujdosó Zoltán</t>
  </si>
  <si>
    <t>Futó Tibor</t>
  </si>
  <si>
    <t>Babinszki József</t>
  </si>
  <si>
    <t>Szekeres Mónika</t>
  </si>
  <si>
    <t>Szombatiné Kati</t>
  </si>
  <si>
    <t>Ludányi Andrea</t>
  </si>
  <si>
    <t>Szombati László</t>
  </si>
  <si>
    <t>Bán Pál</t>
  </si>
  <si>
    <t>Szilágyi Sándor</t>
  </si>
  <si>
    <t>Péter Sándor</t>
  </si>
  <si>
    <t>Ráski János</t>
  </si>
  <si>
    <t>Szojka Miklós</t>
  </si>
  <si>
    <t>Füstös BK</t>
  </si>
  <si>
    <t>Nyerges Zoltán</t>
  </si>
  <si>
    <t>Tarnaszentmiklósi Sándor</t>
  </si>
  <si>
    <t>Zsoldi Mária</t>
  </si>
  <si>
    <t>Törteli Mária</t>
  </si>
  <si>
    <t>Cserényi Norbert</t>
  </si>
  <si>
    <t>Szudoczki Ferenc</t>
  </si>
  <si>
    <t>Bagi Metál</t>
  </si>
  <si>
    <t>Tóth Bagi Zsuzsanna</t>
  </si>
  <si>
    <t>Török Erzsébet</t>
  </si>
  <si>
    <t>Fancsik István</t>
  </si>
  <si>
    <t>Juhász Bence(Ifi)</t>
  </si>
  <si>
    <t>Kovács Natália(Ifi)</t>
  </si>
  <si>
    <t>Rácz Jázmin(Ifi)</t>
  </si>
  <si>
    <t>Egei Sándor</t>
  </si>
  <si>
    <t>Ifj. Rómer Pál</t>
  </si>
  <si>
    <t>Polgár Károly</t>
  </si>
  <si>
    <t>Simon Richárd</t>
  </si>
  <si>
    <t>Sáfár Zoltán (BTK I.)</t>
  </si>
  <si>
    <t>Juhász Bence(BTK I.)</t>
  </si>
  <si>
    <t xml:space="preserve">Simon Zoltán </t>
  </si>
  <si>
    <t>Szőke Tamás(BTK II.)</t>
  </si>
  <si>
    <t>Bene Ferenc(Tiszakécske II.)</t>
  </si>
  <si>
    <t>Oltai Zsuzsanna</t>
  </si>
  <si>
    <t>Polyák Barbara</t>
  </si>
  <si>
    <t>Vanyúr Detti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</si>
</sst>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General\ \F\a"/>
    <numFmt numFmtId="165" formatCode="General\ \f\a"/>
  </numFmts>
  <fonts count="8" x14ac:knownFonts="1">
    <font>
      <sz val="11"/>
      <color rgb="FF000000"/>
      <name val="Calibri"/>
    </font>
    <font>
      <sz val="11"/>
      <name val="Calibri"/>
    </font>
    <font>
      <sz val="20"/>
      <color rgb="FF000000"/>
      <name val="Calibri"/>
    </font>
    <font>
      <sz val="16"/>
      <color rgb="FF000000"/>
      <name val="Calibri"/>
    </font>
    <font>
      <sz val="11"/>
      <name val="Calibri"/>
      <family val="2"/>
      <charset val="238"/>
    </font>
    <font>
      <sz val="11"/>
      <color rgb="FF000000"/>
      <name val="Calibri"/>
      <family val="2"/>
      <charset val="238"/>
    </font>
    <font>
      <sz val="20"/>
      <color rgb="FF000000"/>
      <name val="Calibri"/>
      <family val="2"/>
      <charset val="238"/>
    </font>
    <font>
      <sz val="16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 style="thick">
        <color rgb="FF000000"/>
      </right>
      <top/>
      <bottom/>
      <diagonal/>
    </border>
    <border>
      <left style="medium">
        <color rgb="FF000000"/>
      </left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/>
      <bottom style="thick">
        <color rgb="FF00000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 applyFont="1" applyAlignment="1"/>
    <xf numFmtId="0" fontId="0" fillId="2" borderId="0" xfId="0" applyFont="1" applyFill="1" applyAlignment="1">
      <alignment wrapText="1"/>
    </xf>
    <xf numFmtId="0" fontId="1" fillId="0" borderId="0" xfId="0" applyFont="1" applyAlignment="1"/>
    <xf numFmtId="0" fontId="0" fillId="0" borderId="0" xfId="0" applyFont="1" applyAlignment="1">
      <alignment wrapText="1"/>
    </xf>
    <xf numFmtId="0" fontId="0" fillId="2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1" fillId="2" borderId="0" xfId="0" applyFont="1" applyFill="1"/>
    <xf numFmtId="0" fontId="0" fillId="0" borderId="0" xfId="0" applyFont="1" applyAlignment="1">
      <alignment horizontal="center" vertical="center"/>
    </xf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1" fillId="2" borderId="0" xfId="0" applyFont="1" applyFill="1" applyAlignme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4" fillId="0" borderId="0" xfId="0" applyFont="1" applyAlignment="1"/>
    <xf numFmtId="0" fontId="5" fillId="2" borderId="0" xfId="0" applyFont="1" applyFill="1" applyAlignment="1">
      <alignment wrapText="1"/>
    </xf>
    <xf numFmtId="0" fontId="5" fillId="0" borderId="0" xfId="0" applyFont="1" applyAlignment="1"/>
    <xf numFmtId="0" fontId="5" fillId="0" borderId="0" xfId="0" applyFont="1" applyAlignment="1">
      <alignment wrapText="1"/>
    </xf>
    <xf numFmtId="164" fontId="0" fillId="0" borderId="0" xfId="0" applyNumberFormat="1" applyFont="1" applyAlignment="1">
      <alignment horizontal="center" vertical="center"/>
    </xf>
    <xf numFmtId="164" fontId="0" fillId="0" borderId="0" xfId="0" applyNumberFormat="1" applyFont="1" applyAlignment="1"/>
    <xf numFmtId="164" fontId="5" fillId="0" borderId="0" xfId="0" applyNumberFormat="1" applyFont="1" applyAlignment="1"/>
    <xf numFmtId="165" fontId="0" fillId="0" borderId="0" xfId="0" applyNumberFormat="1" applyFont="1" applyAlignment="1"/>
    <xf numFmtId="165" fontId="0" fillId="0" borderId="0" xfId="0" applyNumberFormat="1" applyFont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0" fontId="6" fillId="0" borderId="0" xfId="0" applyFont="1"/>
    <xf numFmtId="164" fontId="7" fillId="0" borderId="5" xfId="0" applyNumberFormat="1" applyFont="1" applyBorder="1" applyAlignment="1">
      <alignment horizontal="center" vertical="center" wrapText="1"/>
    </xf>
    <xf numFmtId="164" fontId="7" fillId="0" borderId="2" xfId="0" applyNumberFormat="1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1" fillId="0" borderId="4" xfId="0" applyFont="1" applyBorder="1"/>
    <xf numFmtId="0" fontId="1" fillId="0" borderId="7" xfId="0" applyFont="1" applyBorder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G83"/>
  <sheetViews>
    <sheetView zoomScale="205" zoomScaleNormal="205" workbookViewId="0">
      <pane ySplit="1" topLeftCell="A2" activePane="bottomLeft" state="frozen"/>
      <selection pane="bottomLeft" activeCell="G2" sqref="G2"/>
    </sheetView>
  </sheetViews>
  <sheetFormatPr defaultColWidth="14.42578125" defaultRowHeight="15" customHeight="1" x14ac:dyDescent="0.25"/>
  <cols>
    <col min="1" max="1" width="8.7109375" customWidth="1"/>
    <col min="2" max="2" width="24" bestFit="1" customWidth="1"/>
    <col min="3" max="3" width="18.42578125" customWidth="1"/>
    <col min="4" max="6" width="8.7109375" customWidth="1"/>
    <col min="7" max="7" width="15.140625" customWidth="1"/>
    <col min="8" max="26" width="8.7109375" customWidth="1"/>
  </cols>
  <sheetData>
    <row r="1" spans="1:7" x14ac:dyDescent="0.25">
      <c r="A1" t="s">
        <v>0</v>
      </c>
      <c r="B1" t="s">
        <v>7</v>
      </c>
      <c r="C1" t="s">
        <v>1</v>
      </c>
      <c r="D1" t="s">
        <v>2</v>
      </c>
      <c r="E1" t="s">
        <v>3</v>
      </c>
      <c r="F1" t="s">
        <v>4</v>
      </c>
      <c r="G1" t="s">
        <v>5</v>
      </c>
    </row>
    <row r="2" spans="1:7" ht="30" customHeight="1" x14ac:dyDescent="0.25">
      <c r="A2">
        <v>1</v>
      </c>
      <c r="B2" t="s">
        <v>176</v>
      </c>
      <c r="C2" s="5" t="s">
        <v>173</v>
      </c>
      <c r="D2">
        <f>78+89+76+88</f>
        <v>331</v>
      </c>
      <c r="E2">
        <f>44+59+63+36</f>
        <v>202</v>
      </c>
      <c r="F2">
        <f>1+2+1</f>
        <v>4</v>
      </c>
      <c r="G2">
        <f>D2+E2</f>
        <v>533</v>
      </c>
    </row>
    <row r="3" spans="1:7" ht="30" customHeight="1" x14ac:dyDescent="0.25">
      <c r="A3">
        <v>2</v>
      </c>
      <c r="B3" t="s">
        <v>174</v>
      </c>
      <c r="C3" s="5" t="s">
        <v>173</v>
      </c>
      <c r="D3">
        <f>84+71+91+96</f>
        <v>342</v>
      </c>
      <c r="E3">
        <f>50+44+45+52</f>
        <v>191</v>
      </c>
      <c r="F3">
        <f>1+2+2</f>
        <v>5</v>
      </c>
      <c r="G3">
        <f>D3+E3</f>
        <v>533</v>
      </c>
    </row>
    <row r="4" spans="1:7" ht="30" customHeight="1" x14ac:dyDescent="0.25">
      <c r="A4">
        <v>3</v>
      </c>
      <c r="B4" s="2" t="s">
        <v>165</v>
      </c>
      <c r="C4" s="22" t="s">
        <v>18</v>
      </c>
      <c r="D4">
        <f>110+78+89+85</f>
        <v>362</v>
      </c>
      <c r="E4">
        <f>61+35+33+42</f>
        <v>171</v>
      </c>
      <c r="F4">
        <f>2+1+1</f>
        <v>4</v>
      </c>
      <c r="G4">
        <f>D4+E4</f>
        <v>533</v>
      </c>
    </row>
    <row r="5" spans="1:7" ht="30" customHeight="1" x14ac:dyDescent="0.25">
      <c r="A5">
        <v>4</v>
      </c>
      <c r="B5" s="2" t="s">
        <v>112</v>
      </c>
      <c r="C5" s="5" t="s">
        <v>17</v>
      </c>
      <c r="D5">
        <f>88+80+98+87</f>
        <v>353</v>
      </c>
      <c r="E5">
        <f>36+45+51+45</f>
        <v>177</v>
      </c>
      <c r="F5">
        <f>3+1+1</f>
        <v>5</v>
      </c>
      <c r="G5">
        <f>D5+E5</f>
        <v>530</v>
      </c>
    </row>
    <row r="6" spans="1:7" ht="30" customHeight="1" x14ac:dyDescent="0.25">
      <c r="A6">
        <v>5</v>
      </c>
      <c r="B6" t="s">
        <v>177</v>
      </c>
      <c r="C6" s="3" t="s">
        <v>173</v>
      </c>
      <c r="D6">
        <f>82+103+81+89</f>
        <v>355</v>
      </c>
      <c r="E6">
        <f>35+61+43+36</f>
        <v>175</v>
      </c>
      <c r="F6">
        <f>1+1+2+2</f>
        <v>6</v>
      </c>
      <c r="G6">
        <f>D6+E6</f>
        <v>530</v>
      </c>
    </row>
    <row r="7" spans="1:7" ht="30" customHeight="1" x14ac:dyDescent="0.25">
      <c r="A7">
        <v>6</v>
      </c>
      <c r="B7" s="21" t="s">
        <v>150</v>
      </c>
      <c r="C7" s="22" t="s">
        <v>139</v>
      </c>
      <c r="D7">
        <f>91+99+93+93</f>
        <v>376</v>
      </c>
      <c r="E7">
        <f>41+45+27+41</f>
        <v>154</v>
      </c>
      <c r="F7">
        <f>2+1+3+2</f>
        <v>8</v>
      </c>
      <c r="G7">
        <f>E7+D7</f>
        <v>530</v>
      </c>
    </row>
    <row r="8" spans="1:7" ht="30" customHeight="1" x14ac:dyDescent="0.25">
      <c r="A8">
        <v>7</v>
      </c>
      <c r="B8" s="21" t="s">
        <v>134</v>
      </c>
      <c r="C8" s="22" t="s">
        <v>135</v>
      </c>
      <c r="D8">
        <f>86+92+83+83</f>
        <v>344</v>
      </c>
      <c r="E8">
        <f>50+35+44+43</f>
        <v>172</v>
      </c>
      <c r="F8">
        <f>2+1</f>
        <v>3</v>
      </c>
      <c r="G8">
        <f>D8+E8</f>
        <v>516</v>
      </c>
    </row>
    <row r="9" spans="1:7" ht="30" customHeight="1" x14ac:dyDescent="0.25">
      <c r="A9">
        <v>8</v>
      </c>
      <c r="B9" s="2" t="s">
        <v>112</v>
      </c>
      <c r="C9" s="5" t="s">
        <v>14</v>
      </c>
      <c r="D9">
        <f>86+83+101+85</f>
        <v>355</v>
      </c>
      <c r="E9">
        <f>33+34+50+41</f>
        <v>158</v>
      </c>
      <c r="F9">
        <f>2+2+1</f>
        <v>5</v>
      </c>
      <c r="G9">
        <f>D9+E9</f>
        <v>513</v>
      </c>
    </row>
    <row r="10" spans="1:7" ht="30" customHeight="1" x14ac:dyDescent="0.25">
      <c r="A10">
        <v>9</v>
      </c>
      <c r="B10" s="21" t="s">
        <v>154</v>
      </c>
      <c r="C10" s="5" t="s">
        <v>153</v>
      </c>
      <c r="D10">
        <f>79+90+99+88</f>
        <v>356</v>
      </c>
      <c r="E10">
        <f>34+45+43+35</f>
        <v>157</v>
      </c>
      <c r="F10">
        <f>3+1</f>
        <v>4</v>
      </c>
      <c r="G10">
        <f>D10+E10</f>
        <v>513</v>
      </c>
    </row>
    <row r="11" spans="1:7" ht="30" customHeight="1" x14ac:dyDescent="0.25">
      <c r="A11">
        <v>10</v>
      </c>
      <c r="B11" s="2" t="s">
        <v>116</v>
      </c>
      <c r="C11" s="5" t="s">
        <v>17</v>
      </c>
      <c r="D11">
        <f>70+82+92+82</f>
        <v>326</v>
      </c>
      <c r="E11">
        <f>39+60+48+35</f>
        <v>182</v>
      </c>
      <c r="F11">
        <f>1+1</f>
        <v>2</v>
      </c>
      <c r="G11">
        <f>D11+E11</f>
        <v>508</v>
      </c>
    </row>
    <row r="12" spans="1:7" ht="30" customHeight="1" x14ac:dyDescent="0.25">
      <c r="A12">
        <v>11</v>
      </c>
      <c r="B12" s="21" t="s">
        <v>193</v>
      </c>
      <c r="C12" s="22" t="s">
        <v>20</v>
      </c>
      <c r="D12">
        <f>92+93+78+79</f>
        <v>342</v>
      </c>
      <c r="E12">
        <f>35+43+35+53</f>
        <v>166</v>
      </c>
      <c r="F12">
        <f>1+1+2</f>
        <v>4</v>
      </c>
      <c r="G12">
        <f>D12+E12</f>
        <v>508</v>
      </c>
    </row>
    <row r="13" spans="1:7" ht="30" customHeight="1" x14ac:dyDescent="0.25">
      <c r="A13">
        <v>12</v>
      </c>
      <c r="B13" s="21" t="s">
        <v>162</v>
      </c>
      <c r="C13" s="22" t="s">
        <v>149</v>
      </c>
      <c r="D13">
        <f>90+91+89+84</f>
        <v>354</v>
      </c>
      <c r="E13">
        <f>34+54+33+33</f>
        <v>154</v>
      </c>
      <c r="F13">
        <f>1+2</f>
        <v>3</v>
      </c>
      <c r="G13">
        <f>D13+E13</f>
        <v>508</v>
      </c>
    </row>
    <row r="14" spans="1:7" ht="30" customHeight="1" x14ac:dyDescent="0.25">
      <c r="A14">
        <v>13</v>
      </c>
      <c r="B14" s="2" t="s">
        <v>115</v>
      </c>
      <c r="C14" s="5" t="s">
        <v>17</v>
      </c>
      <c r="D14">
        <f>74+85+86+84</f>
        <v>329</v>
      </c>
      <c r="E14">
        <f>53+36+43+45</f>
        <v>177</v>
      </c>
      <c r="F14">
        <f>1+1</f>
        <v>2</v>
      </c>
      <c r="G14">
        <f>D14+E14</f>
        <v>506</v>
      </c>
    </row>
    <row r="15" spans="1:7" ht="30" customHeight="1" x14ac:dyDescent="0.25">
      <c r="A15">
        <v>14</v>
      </c>
      <c r="B15" s="21" t="s">
        <v>138</v>
      </c>
      <c r="C15" s="22" t="s">
        <v>135</v>
      </c>
      <c r="D15">
        <f>93+83+84+89</f>
        <v>349</v>
      </c>
      <c r="E15">
        <f>34+52+36+34</f>
        <v>156</v>
      </c>
      <c r="F15">
        <f>3+3</f>
        <v>6</v>
      </c>
      <c r="G15">
        <f>D15+E15</f>
        <v>505</v>
      </c>
    </row>
    <row r="16" spans="1:7" ht="30" customHeight="1" x14ac:dyDescent="0.25">
      <c r="A16">
        <v>15</v>
      </c>
      <c r="B16" s="2" t="s">
        <v>114</v>
      </c>
      <c r="C16" s="5" t="s">
        <v>17</v>
      </c>
      <c r="D16">
        <f>85+84+84+84</f>
        <v>337</v>
      </c>
      <c r="E16">
        <f>39+36+45+44</f>
        <v>164</v>
      </c>
      <c r="F16">
        <f>1+3+1</f>
        <v>5</v>
      </c>
      <c r="G16">
        <f>D16+E16</f>
        <v>501</v>
      </c>
    </row>
    <row r="17" spans="1:7" ht="30" customHeight="1" x14ac:dyDescent="0.25">
      <c r="A17">
        <v>16</v>
      </c>
      <c r="B17" s="21" t="s">
        <v>159</v>
      </c>
      <c r="C17" s="22" t="s">
        <v>149</v>
      </c>
      <c r="D17">
        <f>97+85+89+78</f>
        <v>349</v>
      </c>
      <c r="E17">
        <f>34+33+49+35</f>
        <v>151</v>
      </c>
      <c r="F17">
        <f>2+2+3</f>
        <v>7</v>
      </c>
      <c r="G17">
        <f>D17+E17</f>
        <v>500</v>
      </c>
    </row>
    <row r="18" spans="1:7" ht="30" customHeight="1" x14ac:dyDescent="0.25">
      <c r="A18">
        <v>17</v>
      </c>
      <c r="B18" t="s">
        <v>175</v>
      </c>
      <c r="C18" s="5" t="s">
        <v>173</v>
      </c>
      <c r="D18">
        <f>81+77+96+70</f>
        <v>324</v>
      </c>
      <c r="E18">
        <f>36+35+53+51</f>
        <v>175</v>
      </c>
      <c r="F18">
        <f>1+3+2</f>
        <v>6</v>
      </c>
      <c r="G18">
        <f>D18+E18</f>
        <v>499</v>
      </c>
    </row>
    <row r="19" spans="1:7" ht="30" customHeight="1" x14ac:dyDescent="0.25">
      <c r="A19">
        <v>18</v>
      </c>
      <c r="B19" s="2" t="s">
        <v>167</v>
      </c>
      <c r="C19" s="22" t="s">
        <v>18</v>
      </c>
      <c r="D19">
        <f>90+78+85+87</f>
        <v>340</v>
      </c>
      <c r="E19">
        <f>39+45+33+42</f>
        <v>159</v>
      </c>
      <c r="F19">
        <f>2+3+2</f>
        <v>7</v>
      </c>
      <c r="G19">
        <f>D19+E19</f>
        <v>499</v>
      </c>
    </row>
    <row r="20" spans="1:7" ht="30" customHeight="1" x14ac:dyDescent="0.25">
      <c r="A20">
        <v>19</v>
      </c>
      <c r="B20" s="2" t="s">
        <v>171</v>
      </c>
      <c r="C20" s="5" t="s">
        <v>168</v>
      </c>
      <c r="D20">
        <f>95+104+71+80</f>
        <v>350</v>
      </c>
      <c r="E20">
        <f>62+18+31+35</f>
        <v>146</v>
      </c>
      <c r="F20">
        <f>5+3+3</f>
        <v>11</v>
      </c>
      <c r="G20">
        <f>D20+E20</f>
        <v>496</v>
      </c>
    </row>
    <row r="21" spans="1:7" ht="30" customHeight="1" x14ac:dyDescent="0.25">
      <c r="A21">
        <v>20</v>
      </c>
      <c r="B21" s="2" t="s">
        <v>178</v>
      </c>
      <c r="C21" s="5" t="s">
        <v>21</v>
      </c>
      <c r="D21">
        <f>75+90+83+81</f>
        <v>329</v>
      </c>
      <c r="E21">
        <f>54+35+42+35</f>
        <v>166</v>
      </c>
      <c r="F21">
        <f>5+2+2</f>
        <v>9</v>
      </c>
      <c r="G21">
        <f>D21+E21</f>
        <v>495</v>
      </c>
    </row>
    <row r="22" spans="1:7" ht="30" customHeight="1" x14ac:dyDescent="0.25">
      <c r="A22">
        <v>21</v>
      </c>
      <c r="B22" s="21" t="s">
        <v>150</v>
      </c>
      <c r="C22" s="22" t="s">
        <v>139</v>
      </c>
      <c r="D22">
        <f>83+92+83+89</f>
        <v>347</v>
      </c>
      <c r="E22">
        <f>43+42+35+26</f>
        <v>146</v>
      </c>
      <c r="F22">
        <f>1+6+2+1</f>
        <v>10</v>
      </c>
      <c r="G22">
        <f>D22+E22</f>
        <v>493</v>
      </c>
    </row>
    <row r="23" spans="1:7" ht="30" customHeight="1" x14ac:dyDescent="0.25">
      <c r="A23">
        <v>22</v>
      </c>
      <c r="B23" s="21" t="s">
        <v>157</v>
      </c>
      <c r="C23" s="5" t="s">
        <v>153</v>
      </c>
      <c r="D23">
        <f>85+76+80+87</f>
        <v>328</v>
      </c>
      <c r="E23">
        <f>43+43+44+34</f>
        <v>164</v>
      </c>
      <c r="F23">
        <f>2+1+1</f>
        <v>4</v>
      </c>
      <c r="G23">
        <f>D23+E23</f>
        <v>492</v>
      </c>
    </row>
    <row r="24" spans="1:7" ht="30" customHeight="1" x14ac:dyDescent="0.25">
      <c r="A24">
        <v>23</v>
      </c>
      <c r="B24" s="21" t="s">
        <v>136</v>
      </c>
      <c r="C24" s="22" t="s">
        <v>135</v>
      </c>
      <c r="D24">
        <f>86+86+94+86</f>
        <v>352</v>
      </c>
      <c r="E24">
        <f>26+33+36+42</f>
        <v>137</v>
      </c>
      <c r="F24">
        <f>2+4+3+1</f>
        <v>10</v>
      </c>
      <c r="G24">
        <f>D24+E24</f>
        <v>489</v>
      </c>
    </row>
    <row r="25" spans="1:7" ht="30" customHeight="1" x14ac:dyDescent="0.25">
      <c r="A25">
        <v>24</v>
      </c>
      <c r="B25" s="2" t="s">
        <v>132</v>
      </c>
      <c r="C25" s="5" t="s">
        <v>12</v>
      </c>
      <c r="D25">
        <f>79+76+72+91</f>
        <v>318</v>
      </c>
      <c r="E25">
        <f>41+36+40+51</f>
        <v>168</v>
      </c>
      <c r="F25">
        <f>3+3+1+2</f>
        <v>9</v>
      </c>
      <c r="G25">
        <f>D25+E25</f>
        <v>486</v>
      </c>
    </row>
    <row r="26" spans="1:7" ht="30" customHeight="1" x14ac:dyDescent="0.25">
      <c r="A26">
        <v>25</v>
      </c>
      <c r="B26" s="2" t="s">
        <v>147</v>
      </c>
      <c r="C26" s="5" t="s">
        <v>22</v>
      </c>
      <c r="D26">
        <f>79+84+80+82</f>
        <v>325</v>
      </c>
      <c r="E26">
        <f>51+32+44+34</f>
        <v>161</v>
      </c>
      <c r="F26">
        <f>1+1+1+2</f>
        <v>5</v>
      </c>
      <c r="G26">
        <f>D26+E26</f>
        <v>486</v>
      </c>
    </row>
    <row r="27" spans="1:7" ht="30" customHeight="1" x14ac:dyDescent="0.25">
      <c r="A27">
        <v>26</v>
      </c>
      <c r="B27" s="2" t="s">
        <v>148</v>
      </c>
      <c r="C27" s="5" t="s">
        <v>22</v>
      </c>
      <c r="D27">
        <f>82+86+97+83</f>
        <v>348</v>
      </c>
      <c r="E27">
        <f>43+34+26+35</f>
        <v>138</v>
      </c>
      <c r="F27">
        <f>2+1</f>
        <v>3</v>
      </c>
      <c r="G27">
        <f>D27+E27</f>
        <v>486</v>
      </c>
    </row>
    <row r="28" spans="1:7" ht="30" customHeight="1" x14ac:dyDescent="0.25">
      <c r="A28">
        <v>27</v>
      </c>
      <c r="B28" s="2" t="s">
        <v>210</v>
      </c>
      <c r="C28" s="5" t="s">
        <v>211</v>
      </c>
      <c r="D28">
        <f>82+81+82+82</f>
        <v>327</v>
      </c>
      <c r="E28">
        <f>34+42+39+43</f>
        <v>158</v>
      </c>
      <c r="F28">
        <f>4+2+3+1</f>
        <v>10</v>
      </c>
      <c r="G28">
        <f>D28+E28</f>
        <v>485</v>
      </c>
    </row>
    <row r="29" spans="1:7" ht="30" customHeight="1" x14ac:dyDescent="0.25">
      <c r="A29">
        <v>28</v>
      </c>
      <c r="B29" s="2" t="s">
        <v>166</v>
      </c>
      <c r="C29" s="22" t="s">
        <v>18</v>
      </c>
      <c r="D29">
        <f>88+90+76+83</f>
        <v>337</v>
      </c>
      <c r="E29">
        <f>30+44+30+44</f>
        <v>148</v>
      </c>
      <c r="F29">
        <f>4+1+1</f>
        <v>6</v>
      </c>
      <c r="G29">
        <f>D29+E29</f>
        <v>485</v>
      </c>
    </row>
    <row r="30" spans="1:7" ht="30" customHeight="1" x14ac:dyDescent="0.25">
      <c r="A30">
        <v>29</v>
      </c>
      <c r="B30" s="21" t="s">
        <v>137</v>
      </c>
      <c r="C30" s="22" t="s">
        <v>135</v>
      </c>
      <c r="D30">
        <f>86+88+93+85</f>
        <v>352</v>
      </c>
      <c r="E30">
        <f>34+41+31+27</f>
        <v>133</v>
      </c>
      <c r="F30">
        <f>2+2+4</f>
        <v>8</v>
      </c>
      <c r="G30">
        <f>D30+E30</f>
        <v>485</v>
      </c>
    </row>
    <row r="31" spans="1:7" ht="30" customHeight="1" x14ac:dyDescent="0.25">
      <c r="A31">
        <v>30</v>
      </c>
      <c r="B31" s="2" t="s">
        <v>169</v>
      </c>
      <c r="C31" s="5" t="s">
        <v>168</v>
      </c>
      <c r="D31">
        <f>82+74+102+79</f>
        <v>337</v>
      </c>
      <c r="E31">
        <f>43+50+26+27</f>
        <v>146</v>
      </c>
      <c r="F31">
        <f>1+2+4+2</f>
        <v>9</v>
      </c>
      <c r="G31">
        <f>D31+E31</f>
        <v>483</v>
      </c>
    </row>
    <row r="32" spans="1:7" ht="30" customHeight="1" x14ac:dyDescent="0.25">
      <c r="A32">
        <v>31</v>
      </c>
      <c r="B32" s="2" t="s">
        <v>30</v>
      </c>
      <c r="C32" s="5" t="s">
        <v>10</v>
      </c>
      <c r="D32">
        <f>82+76+85+76</f>
        <v>319</v>
      </c>
      <c r="E32">
        <f>44+27+44+48</f>
        <v>163</v>
      </c>
      <c r="F32">
        <f>4</f>
        <v>4</v>
      </c>
      <c r="G32">
        <f>D32+E32</f>
        <v>482</v>
      </c>
    </row>
    <row r="33" spans="1:7" ht="30" customHeight="1" x14ac:dyDescent="0.25">
      <c r="A33">
        <v>32</v>
      </c>
      <c r="B33" s="21" t="s">
        <v>156</v>
      </c>
      <c r="C33" s="5" t="s">
        <v>153</v>
      </c>
      <c r="D33">
        <f>84+83+86+82</f>
        <v>335</v>
      </c>
      <c r="E33">
        <f>39+32+41+35</f>
        <v>147</v>
      </c>
      <c r="F33">
        <f>2+1+2</f>
        <v>5</v>
      </c>
      <c r="G33">
        <f>D33+E33</f>
        <v>482</v>
      </c>
    </row>
    <row r="34" spans="1:7" ht="30" customHeight="1" x14ac:dyDescent="0.25">
      <c r="A34">
        <v>33</v>
      </c>
      <c r="B34" s="2" t="s">
        <v>129</v>
      </c>
      <c r="C34" s="5" t="s">
        <v>12</v>
      </c>
      <c r="D34">
        <f>75+86+88+90</f>
        <v>339</v>
      </c>
      <c r="E34">
        <f>36+39+35+31</f>
        <v>141</v>
      </c>
      <c r="F34">
        <f>3+1</f>
        <v>4</v>
      </c>
      <c r="G34">
        <f>D34+E34</f>
        <v>480</v>
      </c>
    </row>
    <row r="35" spans="1:7" ht="30" customHeight="1" x14ac:dyDescent="0.25">
      <c r="A35">
        <v>34</v>
      </c>
      <c r="B35" s="2" t="s">
        <v>145</v>
      </c>
      <c r="C35" s="5" t="s">
        <v>22</v>
      </c>
      <c r="D35">
        <f>71+73+93+67</f>
        <v>304</v>
      </c>
      <c r="E35">
        <f>42+48+45+38</f>
        <v>173</v>
      </c>
      <c r="F35">
        <f>1+1</f>
        <v>2</v>
      </c>
      <c r="G35">
        <f>D35+E35</f>
        <v>477</v>
      </c>
    </row>
    <row r="36" spans="1:7" ht="30" customHeight="1" x14ac:dyDescent="0.25">
      <c r="A36">
        <v>35</v>
      </c>
      <c r="B36" s="2" t="s">
        <v>61</v>
      </c>
      <c r="C36" s="5" t="s">
        <v>122</v>
      </c>
      <c r="D36">
        <f>76+79+90+90</f>
        <v>335</v>
      </c>
      <c r="E36">
        <f>54+40+31+17</f>
        <v>142</v>
      </c>
      <c r="F36">
        <f>1+3+4</f>
        <v>8</v>
      </c>
      <c r="G36">
        <f>D36+E36</f>
        <v>477</v>
      </c>
    </row>
    <row r="37" spans="1:7" ht="30" customHeight="1" x14ac:dyDescent="0.25">
      <c r="A37">
        <v>36</v>
      </c>
      <c r="B37" s="21" t="s">
        <v>132</v>
      </c>
      <c r="C37" s="22" t="s">
        <v>139</v>
      </c>
      <c r="D37">
        <f>87+80+82+89</f>
        <v>338</v>
      </c>
      <c r="E37">
        <f>29+33+40+36</f>
        <v>138</v>
      </c>
      <c r="F37">
        <f>2+2+2</f>
        <v>6</v>
      </c>
      <c r="G37">
        <f>D37+E37</f>
        <v>476</v>
      </c>
    </row>
    <row r="38" spans="1:7" ht="30" customHeight="1" x14ac:dyDescent="0.25">
      <c r="A38">
        <v>37</v>
      </c>
      <c r="B38" s="2" t="s">
        <v>121</v>
      </c>
      <c r="C38" s="5" t="s">
        <v>32</v>
      </c>
      <c r="D38">
        <f>72+77+70+79</f>
        <v>298</v>
      </c>
      <c r="E38">
        <f>36+44+51+45</f>
        <v>176</v>
      </c>
      <c r="F38">
        <f>3+1+2+3</f>
        <v>9</v>
      </c>
      <c r="G38">
        <f>D38+E38</f>
        <v>474</v>
      </c>
    </row>
    <row r="39" spans="1:7" ht="30" customHeight="1" x14ac:dyDescent="0.25">
      <c r="A39">
        <v>38</v>
      </c>
      <c r="B39" s="21" t="s">
        <v>158</v>
      </c>
      <c r="C39" s="22" t="s">
        <v>149</v>
      </c>
      <c r="D39">
        <f>94+75+77+83</f>
        <v>329</v>
      </c>
      <c r="E39">
        <f>42+33+34+33</f>
        <v>142</v>
      </c>
      <c r="F39">
        <f>3+1+2+2</f>
        <v>8</v>
      </c>
      <c r="G39">
        <f>D39+E39</f>
        <v>471</v>
      </c>
    </row>
    <row r="40" spans="1:7" ht="30" customHeight="1" x14ac:dyDescent="0.25">
      <c r="A40">
        <v>39</v>
      </c>
      <c r="B40" s="19" t="s">
        <v>170</v>
      </c>
      <c r="C40" s="22" t="s">
        <v>139</v>
      </c>
      <c r="D40">
        <f>92+89+79+82</f>
        <v>342</v>
      </c>
      <c r="E40">
        <f>25+35+44+25</f>
        <v>129</v>
      </c>
      <c r="F40">
        <f>3+1+2+4</f>
        <v>10</v>
      </c>
      <c r="G40">
        <f>D40+E40</f>
        <v>471</v>
      </c>
    </row>
    <row r="41" spans="1:7" ht="30" customHeight="1" x14ac:dyDescent="0.25">
      <c r="A41">
        <v>40</v>
      </c>
      <c r="B41" s="21" t="s">
        <v>131</v>
      </c>
      <c r="C41" s="22" t="s">
        <v>139</v>
      </c>
      <c r="D41">
        <f>87+81+87+89</f>
        <v>344</v>
      </c>
      <c r="E41">
        <f>33+35+32+27</f>
        <v>127</v>
      </c>
      <c r="F41">
        <f>2+3+1+4</f>
        <v>10</v>
      </c>
      <c r="G41">
        <f>D41+E41</f>
        <v>471</v>
      </c>
    </row>
    <row r="42" spans="1:7" ht="30" customHeight="1" x14ac:dyDescent="0.25">
      <c r="A42">
        <v>41</v>
      </c>
      <c r="B42" s="21" t="s">
        <v>206</v>
      </c>
      <c r="C42" s="22" t="s">
        <v>204</v>
      </c>
      <c r="D42">
        <f>86+74+72+79</f>
        <v>311</v>
      </c>
      <c r="E42">
        <f>45+34+35+45</f>
        <v>159</v>
      </c>
      <c r="F42">
        <f>1+1+2</f>
        <v>4</v>
      </c>
      <c r="G42">
        <f>D42+E42</f>
        <v>470</v>
      </c>
    </row>
    <row r="43" spans="1:7" ht="30" customHeight="1" x14ac:dyDescent="0.25">
      <c r="A43">
        <v>42</v>
      </c>
      <c r="B43" s="2" t="s">
        <v>180</v>
      </c>
      <c r="C43" s="5" t="s">
        <v>21</v>
      </c>
      <c r="D43">
        <f>76+78+88+87</f>
        <v>329</v>
      </c>
      <c r="E43">
        <f>34+36+27+44</f>
        <v>141</v>
      </c>
      <c r="F43">
        <f>1+2+3</f>
        <v>6</v>
      </c>
      <c r="G43">
        <f>D43+E43</f>
        <v>470</v>
      </c>
    </row>
    <row r="44" spans="1:7" ht="30" customHeight="1" x14ac:dyDescent="0.25">
      <c r="A44">
        <v>43</v>
      </c>
      <c r="B44" s="2" t="s">
        <v>131</v>
      </c>
      <c r="C44" s="5" t="s">
        <v>12</v>
      </c>
      <c r="D44">
        <f>83+88+84+85</f>
        <v>340</v>
      </c>
      <c r="E44">
        <f>25+25+27+53</f>
        <v>130</v>
      </c>
      <c r="F44">
        <f>4+3+3+1</f>
        <v>11</v>
      </c>
      <c r="G44">
        <f>D44+E44</f>
        <v>470</v>
      </c>
    </row>
    <row r="45" spans="1:7" ht="30" customHeight="1" x14ac:dyDescent="0.25">
      <c r="A45">
        <v>44</v>
      </c>
      <c r="B45" s="2" t="s">
        <v>28</v>
      </c>
      <c r="C45" s="5" t="s">
        <v>11</v>
      </c>
      <c r="D45">
        <f>66+71+88+83</f>
        <v>308</v>
      </c>
      <c r="E45">
        <f>27+50+52+32</f>
        <v>161</v>
      </c>
      <c r="F45">
        <f>2+3+3</f>
        <v>8</v>
      </c>
      <c r="G45">
        <f>D45+E45</f>
        <v>469</v>
      </c>
    </row>
    <row r="46" spans="1:7" ht="30" customHeight="1" x14ac:dyDescent="0.25">
      <c r="A46">
        <v>45</v>
      </c>
      <c r="B46" s="2" t="s">
        <v>29</v>
      </c>
      <c r="C46" s="5" t="s">
        <v>10</v>
      </c>
      <c r="D46">
        <f>79+89+84+89</f>
        <v>341</v>
      </c>
      <c r="E46">
        <f>34+35+31+27</f>
        <v>127</v>
      </c>
      <c r="F46">
        <f>4+1+4</f>
        <v>9</v>
      </c>
      <c r="G46">
        <f>D46+E46</f>
        <v>468</v>
      </c>
    </row>
    <row r="47" spans="1:7" ht="30" customHeight="1" x14ac:dyDescent="0.25">
      <c r="A47">
        <v>46</v>
      </c>
      <c r="B47" s="21" t="s">
        <v>155</v>
      </c>
      <c r="C47" s="5" t="s">
        <v>153</v>
      </c>
      <c r="D47">
        <f>80+97+83+77</f>
        <v>337</v>
      </c>
      <c r="E47">
        <f>33+32+32+33</f>
        <v>130</v>
      </c>
      <c r="F47">
        <f>2+2+3</f>
        <v>7</v>
      </c>
      <c r="G47">
        <f>D47+E47</f>
        <v>467</v>
      </c>
    </row>
    <row r="48" spans="1:7" ht="30" customHeight="1" x14ac:dyDescent="0.25">
      <c r="A48">
        <v>47</v>
      </c>
      <c r="B48" s="2" t="s">
        <v>113</v>
      </c>
      <c r="C48" s="5" t="s">
        <v>14</v>
      </c>
      <c r="D48">
        <f>88+87+81+83</f>
        <v>339</v>
      </c>
      <c r="E48">
        <f>42+36+25+24</f>
        <v>127</v>
      </c>
      <c r="F48">
        <f>2+3+7</f>
        <v>12</v>
      </c>
      <c r="G48">
        <f>D48+E48</f>
        <v>466</v>
      </c>
    </row>
    <row r="49" spans="1:7" ht="30" customHeight="1" x14ac:dyDescent="0.25">
      <c r="A49">
        <v>48</v>
      </c>
      <c r="B49" s="21" t="s">
        <v>205</v>
      </c>
      <c r="C49" s="22" t="s">
        <v>204</v>
      </c>
      <c r="D49">
        <f>85+86+66+81</f>
        <v>318</v>
      </c>
      <c r="E49">
        <f>33+43+42+27</f>
        <v>145</v>
      </c>
      <c r="F49">
        <f>2+2+1</f>
        <v>5</v>
      </c>
      <c r="G49">
        <f>D49+E49</f>
        <v>463</v>
      </c>
    </row>
    <row r="50" spans="1:7" ht="30" customHeight="1" x14ac:dyDescent="0.25">
      <c r="A50">
        <v>49</v>
      </c>
      <c r="B50" s="2" t="s">
        <v>209</v>
      </c>
      <c r="C50" s="22" t="s">
        <v>211</v>
      </c>
      <c r="D50">
        <f>80+87+81+75</f>
        <v>323</v>
      </c>
      <c r="E50">
        <f>35+33+39+32</f>
        <v>139</v>
      </c>
      <c r="F50">
        <f>2+1+1+1</f>
        <v>5</v>
      </c>
      <c r="G50">
        <f>D50+E50</f>
        <v>462</v>
      </c>
    </row>
    <row r="51" spans="1:7" ht="30" customHeight="1" x14ac:dyDescent="0.25">
      <c r="A51">
        <v>50</v>
      </c>
      <c r="B51" s="2" t="s">
        <v>111</v>
      </c>
      <c r="C51" s="5" t="s">
        <v>14</v>
      </c>
      <c r="D51">
        <f>85+83+87+89</f>
        <v>344</v>
      </c>
      <c r="E51">
        <f>23+25+42+26</f>
        <v>116</v>
      </c>
      <c r="F51">
        <f>4+5+2+3</f>
        <v>14</v>
      </c>
      <c r="G51">
        <f>D51+E51</f>
        <v>460</v>
      </c>
    </row>
    <row r="52" spans="1:7" ht="30" customHeight="1" x14ac:dyDescent="0.25">
      <c r="A52">
        <v>51</v>
      </c>
      <c r="B52" s="2" t="s">
        <v>110</v>
      </c>
      <c r="C52" s="5" t="s">
        <v>14</v>
      </c>
      <c r="D52">
        <f>82+88+84+67</f>
        <v>321</v>
      </c>
      <c r="E52">
        <f>24+36+34+44</f>
        <v>138</v>
      </c>
      <c r="F52">
        <f>3+3+1</f>
        <v>7</v>
      </c>
      <c r="G52">
        <f>D52+E52</f>
        <v>459</v>
      </c>
    </row>
    <row r="53" spans="1:7" ht="30" customHeight="1" x14ac:dyDescent="0.25">
      <c r="A53">
        <v>52</v>
      </c>
      <c r="B53" s="2" t="s">
        <v>164</v>
      </c>
      <c r="C53" s="22" t="s">
        <v>18</v>
      </c>
      <c r="D53">
        <f>78+78+82+79</f>
        <v>317</v>
      </c>
      <c r="E53">
        <f>43+26+35+32</f>
        <v>136</v>
      </c>
      <c r="F53">
        <f>3+1+6</f>
        <v>10</v>
      </c>
      <c r="G53">
        <f>D53+E53</f>
        <v>453</v>
      </c>
    </row>
    <row r="54" spans="1:7" ht="30" customHeight="1" x14ac:dyDescent="0.25">
      <c r="A54">
        <v>53</v>
      </c>
      <c r="B54" s="2" t="s">
        <v>118</v>
      </c>
      <c r="C54" s="5" t="s">
        <v>25</v>
      </c>
      <c r="D54">
        <f>87+83+74+78</f>
        <v>322</v>
      </c>
      <c r="E54">
        <f>31+35+34+30</f>
        <v>130</v>
      </c>
      <c r="F54">
        <f>4+3+2</f>
        <v>9</v>
      </c>
      <c r="G54">
        <f>D54+E54</f>
        <v>452</v>
      </c>
    </row>
    <row r="55" spans="1:7" ht="30" customHeight="1" x14ac:dyDescent="0.25">
      <c r="A55">
        <v>54</v>
      </c>
      <c r="B55" s="21" t="s">
        <v>118</v>
      </c>
      <c r="C55" s="22" t="s">
        <v>139</v>
      </c>
      <c r="D55">
        <f>76+85+87+72</f>
        <v>320</v>
      </c>
      <c r="E55">
        <f>25+18+50+35</f>
        <v>128</v>
      </c>
      <c r="F55">
        <f>4+8+3+3</f>
        <v>18</v>
      </c>
      <c r="G55">
        <f>D55+E55</f>
        <v>448</v>
      </c>
    </row>
    <row r="56" spans="1:7" ht="30" customHeight="1" x14ac:dyDescent="0.25">
      <c r="A56">
        <v>55</v>
      </c>
      <c r="B56" s="21" t="s">
        <v>159</v>
      </c>
      <c r="C56" s="22" t="s">
        <v>139</v>
      </c>
      <c r="D56">
        <f>76+84+83+80</f>
        <v>323</v>
      </c>
      <c r="E56">
        <f>36+26+27+36</f>
        <v>125</v>
      </c>
      <c r="F56">
        <f>1+5+2+2</f>
        <v>10</v>
      </c>
      <c r="G56">
        <f>E56+D56</f>
        <v>448</v>
      </c>
    </row>
    <row r="57" spans="1:7" ht="30" customHeight="1" x14ac:dyDescent="0.25">
      <c r="A57">
        <v>56</v>
      </c>
      <c r="B57" s="21" t="s">
        <v>192</v>
      </c>
      <c r="C57" s="22" t="s">
        <v>20</v>
      </c>
      <c r="D57">
        <f>80+79+77+78</f>
        <v>314</v>
      </c>
      <c r="E57">
        <f>34+42+35+22</f>
        <v>133</v>
      </c>
      <c r="F57">
        <f>4+1+1+2</f>
        <v>8</v>
      </c>
      <c r="G57">
        <f>D57+E57</f>
        <v>447</v>
      </c>
    </row>
    <row r="58" spans="1:7" ht="30" customHeight="1" x14ac:dyDescent="0.25">
      <c r="A58">
        <v>57</v>
      </c>
      <c r="B58" s="2" t="s">
        <v>130</v>
      </c>
      <c r="C58" s="5" t="s">
        <v>12</v>
      </c>
      <c r="D58">
        <f>76+93+73+82</f>
        <v>324</v>
      </c>
      <c r="E58">
        <f>33+32+33+23</f>
        <v>121</v>
      </c>
      <c r="F58">
        <f>2+1+1+3</f>
        <v>7</v>
      </c>
      <c r="G58">
        <f>D58+E58</f>
        <v>445</v>
      </c>
    </row>
    <row r="59" spans="1:7" ht="30" customHeight="1" x14ac:dyDescent="0.25">
      <c r="A59">
        <v>58</v>
      </c>
      <c r="B59" s="2" t="s">
        <v>181</v>
      </c>
      <c r="C59" s="5" t="s">
        <v>21</v>
      </c>
      <c r="D59">
        <f>81+85+73+69</f>
        <v>308</v>
      </c>
      <c r="E59">
        <f>35+26+36+36</f>
        <v>133</v>
      </c>
      <c r="F59">
        <f>3+3+4+2</f>
        <v>12</v>
      </c>
      <c r="G59">
        <f>D59+E59</f>
        <v>441</v>
      </c>
    </row>
    <row r="60" spans="1:7" ht="30" customHeight="1" x14ac:dyDescent="0.25">
      <c r="A60">
        <v>59</v>
      </c>
      <c r="B60" s="21" t="s">
        <v>199</v>
      </c>
      <c r="C60" s="22" t="s">
        <v>23</v>
      </c>
      <c r="D60">
        <f>87+79+75+84</f>
        <v>325</v>
      </c>
      <c r="E60">
        <f>26+26+36+26</f>
        <v>114</v>
      </c>
      <c r="F60">
        <f>2+2+1+5</f>
        <v>10</v>
      </c>
      <c r="G60">
        <f>D60+E60</f>
        <v>439</v>
      </c>
    </row>
    <row r="61" spans="1:7" ht="30" customHeight="1" x14ac:dyDescent="0.25">
      <c r="A61">
        <v>60</v>
      </c>
      <c r="B61" s="2" t="s">
        <v>170</v>
      </c>
      <c r="C61" s="5" t="s">
        <v>168</v>
      </c>
      <c r="D61">
        <f>87+80+82+76</f>
        <v>325</v>
      </c>
      <c r="E61">
        <f>35+45+16+18</f>
        <v>114</v>
      </c>
      <c r="F61">
        <f>1+3+9+5</f>
        <v>18</v>
      </c>
      <c r="G61">
        <f>D61+E61</f>
        <v>439</v>
      </c>
    </row>
    <row r="62" spans="1:7" ht="30" customHeight="1" x14ac:dyDescent="0.25">
      <c r="A62">
        <v>61</v>
      </c>
      <c r="B62" s="21" t="s">
        <v>194</v>
      </c>
      <c r="C62" s="22" t="s">
        <v>20</v>
      </c>
      <c r="D62">
        <f>84+85+76+76</f>
        <v>321</v>
      </c>
      <c r="E62">
        <f>25+27+24+27</f>
        <v>103</v>
      </c>
      <c r="F62">
        <f>2+1+4+4</f>
        <v>11</v>
      </c>
      <c r="G62">
        <f>D62+E62</f>
        <v>424</v>
      </c>
    </row>
    <row r="63" spans="1:7" ht="30" customHeight="1" x14ac:dyDescent="0.25">
      <c r="A63">
        <v>62</v>
      </c>
      <c r="B63" s="2" t="s">
        <v>31</v>
      </c>
      <c r="C63" s="5" t="s">
        <v>10</v>
      </c>
      <c r="D63">
        <f>69+79+67+72</f>
        <v>287</v>
      </c>
      <c r="E63">
        <f>35+40+34+26</f>
        <v>135</v>
      </c>
      <c r="F63">
        <f>2+1+5+2</f>
        <v>10</v>
      </c>
      <c r="G63">
        <f>D63+E63</f>
        <v>422</v>
      </c>
    </row>
    <row r="64" spans="1:7" ht="30" customHeight="1" x14ac:dyDescent="0.25">
      <c r="A64">
        <v>63</v>
      </c>
      <c r="B64" s="2" t="s">
        <v>9</v>
      </c>
      <c r="C64" s="5" t="s">
        <v>11</v>
      </c>
      <c r="D64">
        <f>66+65+87+86</f>
        <v>304</v>
      </c>
      <c r="E64">
        <f>17+26+34+34</f>
        <v>111</v>
      </c>
      <c r="F64">
        <f>4+4+4+3</f>
        <v>15</v>
      </c>
      <c r="G64">
        <f>D64+E64</f>
        <v>415</v>
      </c>
    </row>
    <row r="65" spans="1:7" ht="30" customHeight="1" x14ac:dyDescent="0.25">
      <c r="A65">
        <v>64</v>
      </c>
      <c r="B65" s="2" t="s">
        <v>146</v>
      </c>
      <c r="C65" s="5" t="s">
        <v>22</v>
      </c>
      <c r="D65">
        <f>78+74+68+74</f>
        <v>294</v>
      </c>
      <c r="E65">
        <f>34+25+24+35</f>
        <v>118</v>
      </c>
      <c r="F65">
        <f>3+4+5+3</f>
        <v>15</v>
      </c>
      <c r="G65">
        <f>D65+E65</f>
        <v>412</v>
      </c>
    </row>
    <row r="66" spans="1:7" ht="30" customHeight="1" x14ac:dyDescent="0.25">
      <c r="A66">
        <v>65</v>
      </c>
      <c r="B66" s="2" t="s">
        <v>120</v>
      </c>
      <c r="C66" s="5" t="s">
        <v>25</v>
      </c>
      <c r="D66">
        <f>73+67+76+78</f>
        <v>294</v>
      </c>
      <c r="E66">
        <f>36+25+25+26</f>
        <v>112</v>
      </c>
      <c r="F66">
        <f>4+3+6+4</f>
        <v>17</v>
      </c>
      <c r="G66">
        <f>D66+E66</f>
        <v>406</v>
      </c>
    </row>
    <row r="67" spans="1:7" ht="30" customHeight="1" x14ac:dyDescent="0.25">
      <c r="A67">
        <v>66</v>
      </c>
      <c r="B67" s="2" t="s">
        <v>172</v>
      </c>
      <c r="C67" s="5" t="s">
        <v>168</v>
      </c>
      <c r="D67">
        <f>68+77+78+76</f>
        <v>299</v>
      </c>
      <c r="E67">
        <f>24+27+25+26</f>
        <v>102</v>
      </c>
      <c r="F67">
        <f>5+5+6+8</f>
        <v>24</v>
      </c>
      <c r="G67">
        <f>D67+E67</f>
        <v>401</v>
      </c>
    </row>
    <row r="68" spans="1:7" ht="30" customHeight="1" x14ac:dyDescent="0.25">
      <c r="A68">
        <v>67</v>
      </c>
      <c r="B68" s="2" t="s">
        <v>119</v>
      </c>
      <c r="C68" s="5" t="s">
        <v>25</v>
      </c>
      <c r="D68">
        <f>72+78+76+83</f>
        <v>309</v>
      </c>
      <c r="E68">
        <f>17+17+26+27</f>
        <v>87</v>
      </c>
      <c r="F68">
        <f>10+4+4+6</f>
        <v>24</v>
      </c>
      <c r="G68">
        <f>D68+E68</f>
        <v>396</v>
      </c>
    </row>
    <row r="69" spans="1:7" ht="30" customHeight="1" x14ac:dyDescent="0.25">
      <c r="A69">
        <v>68</v>
      </c>
      <c r="B69" s="2" t="s">
        <v>117</v>
      </c>
      <c r="C69" s="5" t="s">
        <v>25</v>
      </c>
      <c r="D69">
        <f>84+61+75+69</f>
        <v>289</v>
      </c>
      <c r="E69">
        <f>16+25+36+21</f>
        <v>98</v>
      </c>
      <c r="F69">
        <f>6+3+2+4</f>
        <v>15</v>
      </c>
      <c r="G69">
        <f>D69+E69</f>
        <v>387</v>
      </c>
    </row>
    <row r="70" spans="1:7" ht="30" customHeight="1" x14ac:dyDescent="0.25">
      <c r="A70">
        <v>69</v>
      </c>
      <c r="B70" s="21" t="s">
        <v>198</v>
      </c>
      <c r="C70" s="22" t="s">
        <v>23</v>
      </c>
      <c r="D70">
        <f>71+56+47+82</f>
        <v>256</v>
      </c>
      <c r="E70">
        <f>30+25+31+26</f>
        <v>112</v>
      </c>
      <c r="F70">
        <f>4+1+8+4</f>
        <v>17</v>
      </c>
      <c r="G70">
        <f>D70+E70</f>
        <v>368</v>
      </c>
    </row>
    <row r="71" spans="1:7" ht="30" customHeight="1" x14ac:dyDescent="0.25">
      <c r="A71">
        <v>70</v>
      </c>
      <c r="B71" s="21" t="s">
        <v>160</v>
      </c>
      <c r="C71" s="22" t="s">
        <v>139</v>
      </c>
      <c r="D71">
        <f>59+68+63+71</f>
        <v>261</v>
      </c>
      <c r="E71">
        <f>18+18+26+26</f>
        <v>88</v>
      </c>
      <c r="F71">
        <f>2+2+6+6</f>
        <v>16</v>
      </c>
      <c r="G71">
        <f>D71+E71</f>
        <v>349</v>
      </c>
    </row>
    <row r="72" spans="1:7" ht="30" customHeight="1" x14ac:dyDescent="0.25">
      <c r="A72">
        <v>71</v>
      </c>
      <c r="C72" s="5"/>
      <c r="G72">
        <f>D72+E72</f>
        <v>0</v>
      </c>
    </row>
    <row r="73" spans="1:7" ht="30" customHeight="1" x14ac:dyDescent="0.25">
      <c r="A73">
        <v>72</v>
      </c>
      <c r="C73" s="5"/>
      <c r="G73">
        <f>D73+E73</f>
        <v>0</v>
      </c>
    </row>
    <row r="74" spans="1:7" ht="30" customHeight="1" x14ac:dyDescent="0.25">
      <c r="A74">
        <v>73</v>
      </c>
      <c r="C74" s="5"/>
      <c r="G74">
        <f>D74+E74</f>
        <v>0</v>
      </c>
    </row>
    <row r="75" spans="1:7" ht="30" customHeight="1" x14ac:dyDescent="0.25">
      <c r="A75">
        <v>74</v>
      </c>
      <c r="C75" s="5"/>
      <c r="G75">
        <f>D75+E75</f>
        <v>0</v>
      </c>
    </row>
    <row r="76" spans="1:7" ht="30" customHeight="1" x14ac:dyDescent="0.25">
      <c r="A76">
        <v>75</v>
      </c>
      <c r="C76" s="5"/>
      <c r="G76">
        <f>D76+E76</f>
        <v>0</v>
      </c>
    </row>
    <row r="77" spans="1:7" ht="30" customHeight="1" x14ac:dyDescent="0.25">
      <c r="A77">
        <v>76</v>
      </c>
      <c r="C77" s="5"/>
      <c r="G77">
        <f>D77+E77</f>
        <v>0</v>
      </c>
    </row>
    <row r="78" spans="1:7" ht="30" customHeight="1" x14ac:dyDescent="0.25">
      <c r="A78">
        <v>77</v>
      </c>
      <c r="C78" s="5"/>
      <c r="G78">
        <f>D78+E78</f>
        <v>0</v>
      </c>
    </row>
    <row r="79" spans="1:7" ht="30" customHeight="1" x14ac:dyDescent="0.25">
      <c r="C79" s="5"/>
      <c r="G79">
        <f>D79+E79</f>
        <v>0</v>
      </c>
    </row>
    <row r="80" spans="1:7" ht="30" customHeight="1" x14ac:dyDescent="0.25">
      <c r="C80" s="5"/>
      <c r="G80">
        <f>D80+E80</f>
        <v>0</v>
      </c>
    </row>
    <row r="81" spans="3:3" ht="30" customHeight="1" x14ac:dyDescent="0.25"/>
    <row r="82" spans="3:3" ht="30" customHeight="1" x14ac:dyDescent="0.25">
      <c r="C82" s="5"/>
    </row>
    <row r="83" spans="3:3" ht="30" customHeight="1" x14ac:dyDescent="0.25"/>
  </sheetData>
  <autoFilter ref="A1:G83"/>
  <sortState ref="B2:G83">
    <sortCondition descending="1" ref="G2:G83"/>
    <sortCondition descending="1" ref="E2:E83"/>
    <sortCondition ref="F2:F83"/>
  </sortState>
  <printOptions horizontalCentered="1" gridLines="1"/>
  <pageMargins left="0.7" right="0.7" top="0.75" bottom="0.75" header="0" footer="0"/>
  <pageSetup paperSize="9" fitToHeight="0" pageOrder="overThenDown" orientation="portrait" cellComments="atEnd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F21"/>
  <sheetViews>
    <sheetView zoomScale="175" zoomScaleNormal="175" workbookViewId="0">
      <pane ySplit="1" topLeftCell="A2" activePane="bottomLeft" state="frozen"/>
      <selection pane="bottomLeft" activeCell="B8" sqref="B8"/>
    </sheetView>
  </sheetViews>
  <sheetFormatPr defaultColWidth="14.42578125" defaultRowHeight="15" customHeight="1" x14ac:dyDescent="0.25"/>
  <cols>
    <col min="1" max="1" width="8.7109375" customWidth="1"/>
    <col min="2" max="2" width="17" bestFit="1" customWidth="1"/>
    <col min="3" max="5" width="8.7109375" customWidth="1"/>
    <col min="6" max="6" width="15.140625" customWidth="1"/>
    <col min="7" max="26" width="8.7109375" customWidth="1"/>
  </cols>
  <sheetData>
    <row r="1" spans="1:6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x14ac:dyDescent="0.25">
      <c r="A2">
        <v>1</v>
      </c>
      <c r="B2" s="5" t="s">
        <v>173</v>
      </c>
      <c r="C2">
        <f>342+324+331+355</f>
        <v>1352</v>
      </c>
      <c r="D2">
        <f>191+175+202+175</f>
        <v>743</v>
      </c>
      <c r="E2">
        <f>5+6+4+6</f>
        <v>21</v>
      </c>
      <c r="F2">
        <f>C2+D2</f>
        <v>2095</v>
      </c>
    </row>
    <row r="3" spans="1:6" x14ac:dyDescent="0.25">
      <c r="A3" s="2">
        <v>2</v>
      </c>
      <c r="B3" s="1" t="s">
        <v>17</v>
      </c>
      <c r="C3">
        <f>337+353+329+326</f>
        <v>1345</v>
      </c>
      <c r="D3">
        <f>164+177+177+182</f>
        <v>700</v>
      </c>
      <c r="E3">
        <f>5+5+2+2</f>
        <v>14</v>
      </c>
      <c r="F3">
        <f>C3+D3</f>
        <v>2045</v>
      </c>
    </row>
    <row r="4" spans="1:6" ht="30" x14ac:dyDescent="0.25">
      <c r="A4" s="2">
        <v>3</v>
      </c>
      <c r="B4" s="4" t="s">
        <v>19</v>
      </c>
      <c r="C4">
        <f>344+352+352+349</f>
        <v>1397</v>
      </c>
      <c r="D4">
        <f>172+137+133+156</f>
        <v>598</v>
      </c>
      <c r="E4">
        <f>3+10+8+6</f>
        <v>27</v>
      </c>
      <c r="F4">
        <f>C4+D4</f>
        <v>1995</v>
      </c>
    </row>
    <row r="5" spans="1:6" ht="30" x14ac:dyDescent="0.25">
      <c r="A5" s="2">
        <v>4</v>
      </c>
      <c r="B5" s="20" t="s">
        <v>163</v>
      </c>
      <c r="C5">
        <f>329+349+324+354</f>
        <v>1356</v>
      </c>
      <c r="D5">
        <f>185+154+142+151</f>
        <v>632</v>
      </c>
      <c r="E5">
        <f>3+8+7</f>
        <v>18</v>
      </c>
      <c r="F5">
        <f>C5+D5</f>
        <v>1988</v>
      </c>
    </row>
    <row r="6" spans="1:6" x14ac:dyDescent="0.25">
      <c r="A6">
        <v>5</v>
      </c>
      <c r="B6" s="4" t="s">
        <v>18</v>
      </c>
      <c r="C6">
        <f>317+362+337+340</f>
        <v>1356</v>
      </c>
      <c r="D6">
        <f>136+171+148+159</f>
        <v>614</v>
      </c>
      <c r="E6">
        <f>10+4+7+6</f>
        <v>27</v>
      </c>
      <c r="F6">
        <f>C6+D6</f>
        <v>1970</v>
      </c>
    </row>
    <row r="7" spans="1:6" ht="30" x14ac:dyDescent="0.25">
      <c r="A7" s="2">
        <v>6</v>
      </c>
      <c r="B7" s="4" t="s">
        <v>6</v>
      </c>
      <c r="C7">
        <f>335+328+356+337</f>
        <v>1356</v>
      </c>
      <c r="D7">
        <f>147+164+157+130</f>
        <v>598</v>
      </c>
      <c r="E7">
        <f>5+4+4+7</f>
        <v>20</v>
      </c>
      <c r="F7">
        <f>C7+D7</f>
        <v>1954</v>
      </c>
    </row>
    <row r="8" spans="1:6" x14ac:dyDescent="0.25">
      <c r="A8" s="2">
        <v>7</v>
      </c>
      <c r="B8" s="4" t="s">
        <v>15</v>
      </c>
      <c r="C8">
        <f>327+323+319+354</f>
        <v>1323</v>
      </c>
      <c r="D8">
        <f>158+139+157+147</f>
        <v>601</v>
      </c>
      <c r="E8">
        <f>10+5+5+10</f>
        <v>30</v>
      </c>
      <c r="F8">
        <f>C8+D8</f>
        <v>1924</v>
      </c>
    </row>
    <row r="9" spans="1:6" x14ac:dyDescent="0.25">
      <c r="A9" s="2">
        <v>8</v>
      </c>
      <c r="B9" s="4" t="s">
        <v>14</v>
      </c>
      <c r="C9">
        <f>321+344+355+339</f>
        <v>1359</v>
      </c>
      <c r="D9">
        <f>138+116+158+127</f>
        <v>539</v>
      </c>
      <c r="E9">
        <f>7+14+5+12</f>
        <v>38</v>
      </c>
      <c r="F9">
        <f>C9+D9</f>
        <v>1898</v>
      </c>
    </row>
    <row r="10" spans="1:6" ht="30" x14ac:dyDescent="0.25">
      <c r="A10">
        <v>9</v>
      </c>
      <c r="B10" s="4" t="s">
        <v>12</v>
      </c>
      <c r="C10">
        <f>339+324+340+318</f>
        <v>1321</v>
      </c>
      <c r="D10">
        <f>141+121+130+168</f>
        <v>560</v>
      </c>
      <c r="E10">
        <f>4+7+11+9</f>
        <v>31</v>
      </c>
      <c r="F10">
        <f>C10+D10</f>
        <v>1881</v>
      </c>
    </row>
    <row r="11" spans="1:6" x14ac:dyDescent="0.25">
      <c r="A11" s="2">
        <v>10</v>
      </c>
      <c r="B11" s="4" t="s">
        <v>16</v>
      </c>
      <c r="C11">
        <f>338+319+318+311</f>
        <v>1286</v>
      </c>
      <c r="D11">
        <f>135+151+145+159</f>
        <v>590</v>
      </c>
      <c r="E11">
        <f>8+9+5+4</f>
        <v>26</v>
      </c>
      <c r="F11">
        <f>C11+D11</f>
        <v>1876</v>
      </c>
    </row>
    <row r="12" spans="1:6" x14ac:dyDescent="0.25">
      <c r="A12" s="2">
        <v>11</v>
      </c>
      <c r="B12" s="4" t="s">
        <v>21</v>
      </c>
      <c r="C12">
        <f>329+308+329+331</f>
        <v>1297</v>
      </c>
      <c r="D12">
        <f>166+133+141+133</f>
        <v>573</v>
      </c>
      <c r="E12">
        <f>9+9+6+12</f>
        <v>36</v>
      </c>
      <c r="F12">
        <f>C12+D12</f>
        <v>1870</v>
      </c>
    </row>
    <row r="13" spans="1:6" x14ac:dyDescent="0.25">
      <c r="A13" s="2">
        <v>12</v>
      </c>
      <c r="B13" s="4" t="s">
        <v>22</v>
      </c>
      <c r="C13">
        <f>325+348+304+294</f>
        <v>1271</v>
      </c>
      <c r="D13">
        <f>173+118+161+138</f>
        <v>590</v>
      </c>
      <c r="E13">
        <f>5+3+2+15</f>
        <v>25</v>
      </c>
      <c r="F13">
        <f>C13+D13</f>
        <v>1861</v>
      </c>
    </row>
    <row r="14" spans="1:6" ht="45" x14ac:dyDescent="0.25">
      <c r="A14">
        <v>13</v>
      </c>
      <c r="B14" s="20" t="s">
        <v>133</v>
      </c>
      <c r="C14">
        <f>298+309+344+299</f>
        <v>1250</v>
      </c>
      <c r="D14">
        <f>163+148+176+114</f>
        <v>601</v>
      </c>
      <c r="E14">
        <f>9+10+8+6</f>
        <v>33</v>
      </c>
      <c r="F14">
        <f>C14+D14</f>
        <v>1851</v>
      </c>
    </row>
    <row r="15" spans="1:6" x14ac:dyDescent="0.25">
      <c r="A15" s="2">
        <v>14</v>
      </c>
      <c r="B15" s="4" t="s">
        <v>13</v>
      </c>
      <c r="C15">
        <f>341+319+325+287</f>
        <v>1272</v>
      </c>
      <c r="D15">
        <f>127+163+151+135</f>
        <v>576</v>
      </c>
      <c r="E15">
        <f>9+4+10+10</f>
        <v>33</v>
      </c>
      <c r="F15">
        <f>C15+D15</f>
        <v>1848</v>
      </c>
    </row>
    <row r="16" spans="1:6" x14ac:dyDescent="0.25">
      <c r="A16" s="2">
        <v>15</v>
      </c>
      <c r="B16" s="22" t="s">
        <v>184</v>
      </c>
      <c r="C16">
        <f>337+325+299+350</f>
        <v>1311</v>
      </c>
      <c r="D16">
        <f>146+114+102+146</f>
        <v>508</v>
      </c>
      <c r="E16">
        <f>24+11+9+18</f>
        <v>62</v>
      </c>
      <c r="F16">
        <f>C16+D16</f>
        <v>1819</v>
      </c>
    </row>
    <row r="17" spans="1:6" x14ac:dyDescent="0.25">
      <c r="A17" s="2">
        <v>16</v>
      </c>
      <c r="B17" s="4" t="s">
        <v>11</v>
      </c>
      <c r="C17">
        <f>304+333+312+308</f>
        <v>1257</v>
      </c>
      <c r="D17">
        <f>111+158+113+161</f>
        <v>543</v>
      </c>
      <c r="E17">
        <f>15+11+12+7</f>
        <v>45</v>
      </c>
      <c r="F17">
        <f>C17+D17</f>
        <v>1800</v>
      </c>
    </row>
    <row r="18" spans="1:6" ht="13.5" customHeight="1" x14ac:dyDescent="0.25">
      <c r="A18" s="2">
        <v>17</v>
      </c>
      <c r="B18" s="4" t="s">
        <v>20</v>
      </c>
      <c r="C18">
        <f>299+321+342+314</f>
        <v>1276</v>
      </c>
      <c r="D18">
        <f>92+103+166+133</f>
        <v>494</v>
      </c>
      <c r="E18">
        <f>17+11+4+8</f>
        <v>40</v>
      </c>
      <c r="F18">
        <f>C18+D18</f>
        <v>1770</v>
      </c>
    </row>
    <row r="19" spans="1:6" x14ac:dyDescent="0.25">
      <c r="A19" s="19">
        <v>18</v>
      </c>
      <c r="B19" s="4" t="s">
        <v>23</v>
      </c>
      <c r="C19">
        <f>256+325+332+288</f>
        <v>1201</v>
      </c>
      <c r="D19">
        <f>150+112+114+113</f>
        <v>489</v>
      </c>
      <c r="E19">
        <f>7+14+17+10</f>
        <v>48</v>
      </c>
      <c r="F19">
        <f>C19+D19</f>
        <v>1690</v>
      </c>
    </row>
    <row r="20" spans="1:6" ht="30" x14ac:dyDescent="0.25">
      <c r="A20" s="2">
        <v>19</v>
      </c>
      <c r="B20" s="4" t="s">
        <v>24</v>
      </c>
      <c r="C20">
        <f>268+335+298+301</f>
        <v>1202</v>
      </c>
      <c r="D20">
        <f>112+117+142+77</f>
        <v>448</v>
      </c>
      <c r="E20">
        <f>21+8+15+17</f>
        <v>61</v>
      </c>
      <c r="F20">
        <f>C20+D20</f>
        <v>1650</v>
      </c>
    </row>
    <row r="21" spans="1:6" x14ac:dyDescent="0.25">
      <c r="A21" s="19">
        <v>20</v>
      </c>
      <c r="B21" s="4" t="s">
        <v>25</v>
      </c>
      <c r="C21">
        <f>289+322+294+309</f>
        <v>1214</v>
      </c>
      <c r="D21">
        <f>98+130+112+87</f>
        <v>427</v>
      </c>
      <c r="E21">
        <f>15+9+17+24</f>
        <v>65</v>
      </c>
      <c r="F21">
        <f>C21+D21</f>
        <v>1641</v>
      </c>
    </row>
  </sheetData>
  <autoFilter ref="A1:F21"/>
  <sortState ref="B2:F21">
    <sortCondition descending="1" ref="F2:F21"/>
    <sortCondition descending="1" ref="D2:D21"/>
    <sortCondition ref="E2:E2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G43"/>
  <sheetViews>
    <sheetView zoomScale="175" zoomScaleNormal="175" workbookViewId="0">
      <pane ySplit="1" topLeftCell="A2" activePane="bottomLeft" state="frozen"/>
      <selection pane="bottomLeft" activeCell="B7" sqref="B7"/>
    </sheetView>
  </sheetViews>
  <sheetFormatPr defaultColWidth="14.42578125" defaultRowHeight="15" customHeight="1" x14ac:dyDescent="0.25"/>
  <cols>
    <col min="1" max="1" width="10.7109375" customWidth="1"/>
    <col min="2" max="2" width="24.42578125" customWidth="1"/>
    <col min="3" max="3" width="19.42578125" bestFit="1" customWidth="1"/>
    <col min="4" max="6" width="8.7109375" customWidth="1"/>
    <col min="7" max="7" width="17.42578125" customWidth="1"/>
    <col min="8" max="26" width="8.7109375" customWidth="1"/>
  </cols>
  <sheetData>
    <row r="1" spans="1:7" x14ac:dyDescent="0.25">
      <c r="A1" t="s">
        <v>0</v>
      </c>
      <c r="B1" t="s">
        <v>7</v>
      </c>
      <c r="C1" t="s">
        <v>1</v>
      </c>
      <c r="D1" t="s">
        <v>2</v>
      </c>
      <c r="E1" t="s">
        <v>3</v>
      </c>
      <c r="F1" t="s">
        <v>4</v>
      </c>
      <c r="G1" t="s">
        <v>5</v>
      </c>
    </row>
    <row r="2" spans="1:7" x14ac:dyDescent="0.25">
      <c r="A2">
        <v>1</v>
      </c>
      <c r="B2" s="21" t="s">
        <v>216</v>
      </c>
      <c r="C2" s="22" t="s">
        <v>189</v>
      </c>
      <c r="D2">
        <f>80+88+104+82</f>
        <v>354</v>
      </c>
      <c r="E2">
        <f>53+51+35+27</f>
        <v>166</v>
      </c>
      <c r="F2">
        <f>1+2+2+2</f>
        <v>7</v>
      </c>
      <c r="G2">
        <f>D2+E2</f>
        <v>520</v>
      </c>
    </row>
    <row r="3" spans="1:7" x14ac:dyDescent="0.25">
      <c r="A3">
        <v>2</v>
      </c>
      <c r="B3" s="21" t="s">
        <v>191</v>
      </c>
      <c r="C3" s="22" t="s">
        <v>189</v>
      </c>
      <c r="D3">
        <f>90+99+87+89</f>
        <v>365</v>
      </c>
      <c r="E3">
        <f>32+35+35+50</f>
        <v>152</v>
      </c>
      <c r="F3">
        <f>3+5+4+1</f>
        <v>13</v>
      </c>
      <c r="G3">
        <f>D3+E3</f>
        <v>517</v>
      </c>
    </row>
    <row r="4" spans="1:7" ht="30" x14ac:dyDescent="0.25">
      <c r="A4">
        <v>3</v>
      </c>
      <c r="B4" s="21" t="s">
        <v>161</v>
      </c>
      <c r="C4" s="22" t="s">
        <v>149</v>
      </c>
      <c r="D4">
        <f>93+79+83+69</f>
        <v>324</v>
      </c>
      <c r="E4">
        <f>42+54+44+45</f>
        <v>185</v>
      </c>
      <c r="F4">
        <f>0</f>
        <v>0</v>
      </c>
      <c r="G4">
        <f>D4+E4</f>
        <v>509</v>
      </c>
    </row>
    <row r="5" spans="1:7" x14ac:dyDescent="0.25">
      <c r="A5">
        <v>4</v>
      </c>
      <c r="B5" s="2" t="s">
        <v>127</v>
      </c>
      <c r="C5" s="2" t="s">
        <v>32</v>
      </c>
      <c r="D5">
        <f>86+91+81+86</f>
        <v>344</v>
      </c>
      <c r="E5">
        <f>34+51+43+35</f>
        <v>163</v>
      </c>
      <c r="F5">
        <f>3+1+2</f>
        <v>6</v>
      </c>
      <c r="G5">
        <f>D5+E5</f>
        <v>507</v>
      </c>
    </row>
    <row r="6" spans="1:7" x14ac:dyDescent="0.25">
      <c r="A6">
        <v>5</v>
      </c>
      <c r="B6" s="21" t="s">
        <v>212</v>
      </c>
      <c r="C6" s="21" t="s">
        <v>211</v>
      </c>
      <c r="D6">
        <f>96+96+89+73</f>
        <v>354</v>
      </c>
      <c r="E6">
        <f>35+33+44+35</f>
        <v>147</v>
      </c>
      <c r="F6">
        <f>2+3+2+3</f>
        <v>10</v>
      </c>
      <c r="G6">
        <f>D6+E6</f>
        <v>501</v>
      </c>
    </row>
    <row r="7" spans="1:7" x14ac:dyDescent="0.25">
      <c r="A7">
        <v>6</v>
      </c>
      <c r="B7" s="2" t="s">
        <v>107</v>
      </c>
      <c r="C7" s="2" t="s">
        <v>34</v>
      </c>
      <c r="D7">
        <f>92+97+85+83</f>
        <v>357</v>
      </c>
      <c r="E7">
        <f>44+34+34+27</f>
        <v>139</v>
      </c>
      <c r="F7">
        <f>1+3+3</f>
        <v>7</v>
      </c>
      <c r="G7">
        <f>D7+E7</f>
        <v>496</v>
      </c>
    </row>
    <row r="8" spans="1:7" x14ac:dyDescent="0.25">
      <c r="A8">
        <v>7</v>
      </c>
      <c r="B8" s="2" t="s">
        <v>26</v>
      </c>
      <c r="C8" s="2" t="s">
        <v>11</v>
      </c>
      <c r="D8">
        <f>82+83+84+84</f>
        <v>333</v>
      </c>
      <c r="E8">
        <f>45+34+27+52</f>
        <v>158</v>
      </c>
      <c r="F8">
        <f>2+4+5</f>
        <v>11</v>
      </c>
      <c r="G8">
        <f>D8+E8</f>
        <v>491</v>
      </c>
    </row>
    <row r="9" spans="1:7" x14ac:dyDescent="0.25">
      <c r="A9">
        <v>8</v>
      </c>
      <c r="B9" s="21" t="s">
        <v>190</v>
      </c>
      <c r="C9" s="22" t="s">
        <v>189</v>
      </c>
      <c r="D9">
        <f>83+87+90+77</f>
        <v>337</v>
      </c>
      <c r="E9">
        <f>26+32+45+43</f>
        <v>146</v>
      </c>
      <c r="F9">
        <f>2+1+1+2</f>
        <v>6</v>
      </c>
      <c r="G9">
        <f>D9+E9</f>
        <v>483</v>
      </c>
    </row>
    <row r="10" spans="1:7" x14ac:dyDescent="0.25">
      <c r="A10">
        <v>9</v>
      </c>
      <c r="B10" s="21" t="s">
        <v>197</v>
      </c>
      <c r="C10" s="21" t="s">
        <v>23</v>
      </c>
      <c r="D10">
        <f>91+82+74+85</f>
        <v>332</v>
      </c>
      <c r="E10">
        <f>36+42+40+32</f>
        <v>150</v>
      </c>
      <c r="F10">
        <f>2+1+1+3</f>
        <v>7</v>
      </c>
      <c r="G10">
        <f>D10+E10</f>
        <v>482</v>
      </c>
    </row>
    <row r="11" spans="1:7" x14ac:dyDescent="0.25">
      <c r="A11">
        <v>10</v>
      </c>
      <c r="B11" s="21" t="s">
        <v>213</v>
      </c>
      <c r="C11" s="21" t="s">
        <v>211</v>
      </c>
      <c r="D11">
        <f>80+73+86+80</f>
        <v>319</v>
      </c>
      <c r="E11">
        <f>34+34+44+45</f>
        <v>157</v>
      </c>
      <c r="F11">
        <f>1+2+0+2</f>
        <v>5</v>
      </c>
      <c r="G11">
        <f>D11+E11</f>
        <v>476</v>
      </c>
    </row>
    <row r="12" spans="1:7" x14ac:dyDescent="0.25">
      <c r="A12">
        <v>11</v>
      </c>
      <c r="B12" s="2" t="s">
        <v>8</v>
      </c>
      <c r="C12" s="2" t="s">
        <v>10</v>
      </c>
      <c r="D12">
        <f>76+84+87+78</f>
        <v>325</v>
      </c>
      <c r="E12">
        <f>34+34+39+44</f>
        <v>151</v>
      </c>
      <c r="F12">
        <f>2+3+3+2</f>
        <v>10</v>
      </c>
      <c r="G12">
        <f>D12+E12</f>
        <v>476</v>
      </c>
    </row>
    <row r="13" spans="1:7" x14ac:dyDescent="0.25">
      <c r="A13">
        <v>12</v>
      </c>
      <c r="B13" s="21" t="s">
        <v>217</v>
      </c>
      <c r="C13" s="22" t="s">
        <v>189</v>
      </c>
      <c r="D13">
        <f>84+82+81+80</f>
        <v>327</v>
      </c>
      <c r="E13">
        <f>43+33+36+35</f>
        <v>147</v>
      </c>
      <c r="F13">
        <f>1+1+3+2</f>
        <v>7</v>
      </c>
      <c r="G13">
        <f>D13+E13</f>
        <v>474</v>
      </c>
    </row>
    <row r="14" spans="1:7" x14ac:dyDescent="0.25">
      <c r="A14">
        <v>13</v>
      </c>
      <c r="B14" s="21" t="s">
        <v>207</v>
      </c>
      <c r="C14" s="22" t="s">
        <v>204</v>
      </c>
      <c r="D14">
        <f>88+89+77+84</f>
        <v>338</v>
      </c>
      <c r="E14">
        <f>26+33+34+42</f>
        <v>135</v>
      </c>
      <c r="F14">
        <f>1+3+3+1</f>
        <v>8</v>
      </c>
      <c r="G14">
        <f>D14+E14</f>
        <v>473</v>
      </c>
    </row>
    <row r="15" spans="1:7" ht="30" customHeight="1" x14ac:dyDescent="0.25">
      <c r="A15">
        <v>15</v>
      </c>
      <c r="B15" s="21" t="s">
        <v>208</v>
      </c>
      <c r="C15" s="22" t="s">
        <v>204</v>
      </c>
      <c r="D15">
        <f>87+72+79+81</f>
        <v>319</v>
      </c>
      <c r="E15">
        <f>27+27+43+54</f>
        <v>151</v>
      </c>
      <c r="F15">
        <f>2+3+2+2</f>
        <v>9</v>
      </c>
      <c r="G15">
        <f>D15+E15</f>
        <v>470</v>
      </c>
    </row>
    <row r="16" spans="1:7" x14ac:dyDescent="0.25">
      <c r="A16">
        <v>16</v>
      </c>
      <c r="B16" s="21" t="s">
        <v>213</v>
      </c>
      <c r="C16" s="21" t="s">
        <v>183</v>
      </c>
      <c r="D16">
        <f>80+81+79+87</f>
        <v>327</v>
      </c>
      <c r="E16">
        <f>44+27+25+42</f>
        <v>138</v>
      </c>
      <c r="F16">
        <v>8</v>
      </c>
      <c r="G16">
        <f>D16+E16</f>
        <v>465</v>
      </c>
    </row>
    <row r="17" spans="1:7" x14ac:dyDescent="0.25">
      <c r="A17">
        <v>17</v>
      </c>
      <c r="B17" s="2" t="s">
        <v>179</v>
      </c>
      <c r="C17" s="5" t="s">
        <v>21</v>
      </c>
      <c r="D17">
        <f>79+90+92+70</f>
        <v>331</v>
      </c>
      <c r="E17">
        <f>35+35+27+36</f>
        <v>133</v>
      </c>
      <c r="F17">
        <f>2+2+3+2</f>
        <v>9</v>
      </c>
      <c r="G17">
        <f>D17+E17</f>
        <v>464</v>
      </c>
    </row>
    <row r="18" spans="1:7" x14ac:dyDescent="0.25">
      <c r="A18">
        <v>18</v>
      </c>
      <c r="B18" s="2" t="s">
        <v>109</v>
      </c>
      <c r="C18" s="2" t="s">
        <v>34</v>
      </c>
      <c r="D18">
        <f>88+79+79+72</f>
        <v>318</v>
      </c>
      <c r="E18">
        <f>42+44+31+26</f>
        <v>143</v>
      </c>
      <c r="F18">
        <f>2+1+3</f>
        <v>6</v>
      </c>
      <c r="G18">
        <f>D18+E18</f>
        <v>461</v>
      </c>
    </row>
    <row r="19" spans="1:7" x14ac:dyDescent="0.25">
      <c r="A19">
        <v>19</v>
      </c>
      <c r="B19" s="21" t="s">
        <v>228</v>
      </c>
      <c r="C19" s="21" t="s">
        <v>183</v>
      </c>
      <c r="D19">
        <f>79+87+82+90</f>
        <v>338</v>
      </c>
      <c r="E19">
        <f>26+34+27+33</f>
        <v>120</v>
      </c>
      <c r="F19">
        <v>11</v>
      </c>
      <c r="G19">
        <f>D19+E19</f>
        <v>458</v>
      </c>
    </row>
    <row r="20" spans="1:7" x14ac:dyDescent="0.25">
      <c r="A20">
        <v>20</v>
      </c>
      <c r="B20" s="2" t="s">
        <v>108</v>
      </c>
      <c r="C20" s="2" t="s">
        <v>34</v>
      </c>
      <c r="D20">
        <f>83+79+66+84</f>
        <v>312</v>
      </c>
      <c r="E20">
        <f>43+32+35+34</f>
        <v>144</v>
      </c>
      <c r="F20">
        <f>2+2+2</f>
        <v>6</v>
      </c>
      <c r="G20">
        <f>D20+E20</f>
        <v>456</v>
      </c>
    </row>
    <row r="21" spans="1:7" x14ac:dyDescent="0.25">
      <c r="A21">
        <v>21</v>
      </c>
      <c r="B21" s="2" t="s">
        <v>106</v>
      </c>
      <c r="C21" s="2" t="s">
        <v>34</v>
      </c>
      <c r="D21">
        <f>72+84+83+83</f>
        <v>322</v>
      </c>
      <c r="E21">
        <f>26+35+41+26</f>
        <v>128</v>
      </c>
      <c r="F21">
        <f>4+3+4</f>
        <v>11</v>
      </c>
      <c r="G21">
        <f>D21+E21</f>
        <v>450</v>
      </c>
    </row>
    <row r="22" spans="1:7" x14ac:dyDescent="0.25">
      <c r="A22">
        <v>22</v>
      </c>
      <c r="B22" s="2" t="s">
        <v>128</v>
      </c>
      <c r="C22" s="2" t="s">
        <v>32</v>
      </c>
      <c r="D22">
        <f>70+72+74+83</f>
        <v>299</v>
      </c>
      <c r="E22">
        <f>49+35+29+35</f>
        <v>148</v>
      </c>
      <c r="F22">
        <f>2+4+2</f>
        <v>8</v>
      </c>
      <c r="G22">
        <f>D22+E22</f>
        <v>447</v>
      </c>
    </row>
    <row r="23" spans="1:7" x14ac:dyDescent="0.25">
      <c r="A23">
        <v>23</v>
      </c>
      <c r="B23" s="21" t="s">
        <v>229</v>
      </c>
      <c r="C23" s="21" t="s">
        <v>183</v>
      </c>
      <c r="D23">
        <f>89+79+71+86</f>
        <v>325</v>
      </c>
      <c r="E23">
        <f>26+36+16+36</f>
        <v>114</v>
      </c>
      <c r="F23">
        <f>2+3+4+5</f>
        <v>14</v>
      </c>
      <c r="G23">
        <f>D23+E23</f>
        <v>439</v>
      </c>
    </row>
    <row r="24" spans="1:7" x14ac:dyDescent="0.25">
      <c r="A24">
        <v>24</v>
      </c>
      <c r="B24" s="2" t="s">
        <v>27</v>
      </c>
      <c r="C24" s="2" t="s">
        <v>11</v>
      </c>
      <c r="D24">
        <f>80+80+71+81</f>
        <v>312</v>
      </c>
      <c r="E24">
        <f>35+21+25+32</f>
        <v>113</v>
      </c>
      <c r="F24">
        <f>1+5+3+3</f>
        <v>12</v>
      </c>
      <c r="G24">
        <f>D24+E24</f>
        <v>425</v>
      </c>
    </row>
    <row r="25" spans="1:7" x14ac:dyDescent="0.25">
      <c r="A25">
        <v>25</v>
      </c>
      <c r="B25" s="2" t="s">
        <v>126</v>
      </c>
      <c r="C25" s="2" t="s">
        <v>32</v>
      </c>
      <c r="D25">
        <f>79+71+80+79</f>
        <v>309</v>
      </c>
      <c r="E25">
        <f>33+24+31+26</f>
        <v>114</v>
      </c>
      <c r="F25">
        <f>2+5+2+1</f>
        <v>10</v>
      </c>
      <c r="G25">
        <f>D25+E25</f>
        <v>423</v>
      </c>
    </row>
    <row r="26" spans="1:7" x14ac:dyDescent="0.25">
      <c r="A26">
        <v>26</v>
      </c>
      <c r="B26" s="2" t="s">
        <v>124</v>
      </c>
      <c r="C26" s="2" t="s">
        <v>122</v>
      </c>
      <c r="D26">
        <f>85+83+62+71</f>
        <v>301</v>
      </c>
      <c r="E26">
        <f>26+34+21+36</f>
        <v>117</v>
      </c>
      <c r="F26">
        <f>7+3+5+2</f>
        <v>17</v>
      </c>
      <c r="G26">
        <f>D26+E26</f>
        <v>418</v>
      </c>
    </row>
    <row r="27" spans="1:7" x14ac:dyDescent="0.25">
      <c r="A27">
        <v>27</v>
      </c>
      <c r="B27" s="2" t="s">
        <v>123</v>
      </c>
      <c r="C27" s="2" t="s">
        <v>122</v>
      </c>
      <c r="D27">
        <f>81+69+74+74</f>
        <v>298</v>
      </c>
      <c r="E27">
        <f>26+34+25+27</f>
        <v>112</v>
      </c>
      <c r="F27">
        <f>3+2+4+6</f>
        <v>15</v>
      </c>
      <c r="G27">
        <f>D27+E27</f>
        <v>410</v>
      </c>
    </row>
    <row r="28" spans="1:7" x14ac:dyDescent="0.25">
      <c r="A28">
        <v>28</v>
      </c>
      <c r="B28" s="21" t="s">
        <v>227</v>
      </c>
      <c r="C28" s="21" t="s">
        <v>183</v>
      </c>
      <c r="D28">
        <f>80+69+86+82</f>
        <v>317</v>
      </c>
      <c r="E28">
        <f>26+24+17+25</f>
        <v>92</v>
      </c>
      <c r="F28">
        <f>5+7+7+5</f>
        <v>24</v>
      </c>
      <c r="G28">
        <f>D28+E28</f>
        <v>409</v>
      </c>
    </row>
    <row r="29" spans="1:7" x14ac:dyDescent="0.25">
      <c r="A29">
        <v>29</v>
      </c>
      <c r="B29" s="21" t="s">
        <v>196</v>
      </c>
      <c r="C29" s="21" t="s">
        <v>23</v>
      </c>
      <c r="D29">
        <f>76+78+67+67</f>
        <v>288</v>
      </c>
      <c r="E29">
        <f>26+26+35+26</f>
        <v>113</v>
      </c>
      <c r="F29">
        <f>3+5+3+3</f>
        <v>14</v>
      </c>
      <c r="G29">
        <f>D29+E29</f>
        <v>401</v>
      </c>
    </row>
    <row r="30" spans="1:7" x14ac:dyDescent="0.25">
      <c r="A30">
        <v>30</v>
      </c>
      <c r="B30" s="21" t="s">
        <v>195</v>
      </c>
      <c r="C30" s="21" t="s">
        <v>20</v>
      </c>
      <c r="D30">
        <f>69+74+88+68</f>
        <v>299</v>
      </c>
      <c r="E30">
        <f>32+27+20+13</f>
        <v>92</v>
      </c>
      <c r="F30">
        <f>3+3+4+7</f>
        <v>17</v>
      </c>
      <c r="G30">
        <f>D30+E30</f>
        <v>391</v>
      </c>
    </row>
    <row r="31" spans="1:7" x14ac:dyDescent="0.25">
      <c r="A31">
        <v>31</v>
      </c>
      <c r="B31" s="21" t="s">
        <v>185</v>
      </c>
      <c r="C31" s="21" t="s">
        <v>139</v>
      </c>
      <c r="D31">
        <f>78+76+68+72</f>
        <v>294</v>
      </c>
      <c r="E31">
        <f>18+19+7+43</f>
        <v>87</v>
      </c>
      <c r="F31">
        <f>5+4+11+3</f>
        <v>23</v>
      </c>
      <c r="G31">
        <f>D31+E31</f>
        <v>381</v>
      </c>
    </row>
    <row r="32" spans="1:7" x14ac:dyDescent="0.25">
      <c r="A32">
        <v>32</v>
      </c>
      <c r="B32" s="2" t="s">
        <v>125</v>
      </c>
      <c r="C32" s="2" t="s">
        <v>122</v>
      </c>
      <c r="D32">
        <f>57+66+68+77</f>
        <v>268</v>
      </c>
      <c r="E32">
        <f>16+17+26+18</f>
        <v>77</v>
      </c>
      <c r="F32">
        <f>7+4+5+5</f>
        <v>21</v>
      </c>
      <c r="G32">
        <f>D32+E32</f>
        <v>345</v>
      </c>
    </row>
    <row r="33" spans="1:7" x14ac:dyDescent="0.25">
      <c r="A33">
        <v>33</v>
      </c>
      <c r="B33" s="21" t="s">
        <v>186</v>
      </c>
      <c r="C33" s="21" t="s">
        <v>139</v>
      </c>
      <c r="D33">
        <f>59+60+64+66</f>
        <v>249</v>
      </c>
      <c r="E33">
        <f>23+8+8+25</f>
        <v>64</v>
      </c>
      <c r="F33">
        <f>9+11+18+6</f>
        <v>44</v>
      </c>
      <c r="G33">
        <f>D33+E33</f>
        <v>313</v>
      </c>
    </row>
    <row r="34" spans="1:7" x14ac:dyDescent="0.25">
      <c r="A34">
        <v>34</v>
      </c>
      <c r="G34">
        <f>D34+E34</f>
        <v>0</v>
      </c>
    </row>
    <row r="35" spans="1:7" x14ac:dyDescent="0.25">
      <c r="A35">
        <v>35</v>
      </c>
      <c r="G35">
        <f>D35+E35</f>
        <v>0</v>
      </c>
    </row>
    <row r="36" spans="1:7" x14ac:dyDescent="0.25">
      <c r="A36">
        <v>36</v>
      </c>
      <c r="G36">
        <f>D36+E36</f>
        <v>0</v>
      </c>
    </row>
    <row r="37" spans="1:7" x14ac:dyDescent="0.25">
      <c r="A37">
        <v>37</v>
      </c>
      <c r="G37">
        <f>D37+E37</f>
        <v>0</v>
      </c>
    </row>
    <row r="38" spans="1:7" x14ac:dyDescent="0.25">
      <c r="A38">
        <v>38</v>
      </c>
      <c r="G38">
        <f>D38+E38</f>
        <v>0</v>
      </c>
    </row>
    <row r="39" spans="1:7" x14ac:dyDescent="0.25">
      <c r="A39">
        <v>39</v>
      </c>
      <c r="G39">
        <f>D39+E39</f>
        <v>0</v>
      </c>
    </row>
    <row r="40" spans="1:7" x14ac:dyDescent="0.25">
      <c r="A40">
        <v>40</v>
      </c>
      <c r="G40">
        <f>D40+E40</f>
        <v>0</v>
      </c>
    </row>
    <row r="41" spans="1:7" x14ac:dyDescent="0.25">
      <c r="A41">
        <v>41</v>
      </c>
      <c r="G41">
        <f>D41+E41</f>
        <v>0</v>
      </c>
    </row>
    <row r="42" spans="1:7" x14ac:dyDescent="0.25">
      <c r="A42">
        <v>42</v>
      </c>
      <c r="G42">
        <f>D42+E42</f>
        <v>0</v>
      </c>
    </row>
    <row r="43" spans="1:7" x14ac:dyDescent="0.25">
      <c r="G43">
        <f>D43+E43</f>
        <v>0</v>
      </c>
    </row>
  </sheetData>
  <autoFilter ref="A1:G43"/>
  <sortState ref="B2:G43">
    <sortCondition descending="1" ref="G2:G43"/>
    <sortCondition descending="1" ref="E2:E43"/>
    <sortCondition ref="F2:F43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F4"/>
  <sheetViews>
    <sheetView workbookViewId="0">
      <pane xSplit="1" topLeftCell="B1" activePane="topRight" state="frozen"/>
      <selection pane="topRight" activeCell="B4" sqref="B4"/>
    </sheetView>
  </sheetViews>
  <sheetFormatPr defaultColWidth="14.42578125" defaultRowHeight="15" customHeight="1" x14ac:dyDescent="0.25"/>
  <cols>
    <col min="1" max="1" width="8.7109375" customWidth="1"/>
    <col min="2" max="2" width="15" customWidth="1"/>
    <col min="3" max="5" width="8.7109375" customWidth="1"/>
    <col min="6" max="6" width="15.140625" customWidth="1"/>
    <col min="7" max="26" width="8.7109375" customWidth="1"/>
  </cols>
  <sheetData>
    <row r="1" spans="1:6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x14ac:dyDescent="0.25">
      <c r="A2">
        <v>1</v>
      </c>
      <c r="B2" s="2" t="s">
        <v>33</v>
      </c>
      <c r="C2">
        <f>337+354+365+327</f>
        <v>1383</v>
      </c>
      <c r="D2">
        <f>146+166+152+147</f>
        <v>611</v>
      </c>
      <c r="E2">
        <f>6+7+13+7</f>
        <v>33</v>
      </c>
      <c r="F2">
        <f>C2+D2</f>
        <v>1994</v>
      </c>
    </row>
    <row r="3" spans="1:6" x14ac:dyDescent="0.25">
      <c r="A3">
        <v>2</v>
      </c>
      <c r="B3" s="2" t="s">
        <v>34</v>
      </c>
      <c r="C3">
        <f>322+357+312+318</f>
        <v>1309</v>
      </c>
      <c r="D3">
        <f>128+139+144+143</f>
        <v>554</v>
      </c>
      <c r="E3">
        <f>11+7+6+6</f>
        <v>30</v>
      </c>
      <c r="F3">
        <f>C3+D3</f>
        <v>1863</v>
      </c>
    </row>
    <row r="4" spans="1:6" x14ac:dyDescent="0.25">
      <c r="A4">
        <v>3</v>
      </c>
      <c r="B4" s="19" t="s">
        <v>183</v>
      </c>
      <c r="C4">
        <f>317+327+338+325</f>
        <v>1307</v>
      </c>
      <c r="D4">
        <f>92+138+120+114</f>
        <v>464</v>
      </c>
      <c r="E4">
        <f>24+8+11+14</f>
        <v>57</v>
      </c>
      <c r="F4">
        <f>C4+D4</f>
        <v>1771</v>
      </c>
    </row>
  </sheetData>
  <sortState ref="B2:F4">
    <sortCondition descending="1" ref="F2:F4"/>
    <sortCondition descending="1" ref="D2:D4"/>
    <sortCondition ref="E2:E4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G49"/>
  <sheetViews>
    <sheetView zoomScale="280" zoomScaleNormal="280" workbookViewId="0">
      <pane ySplit="1" topLeftCell="A2" activePane="bottomLeft" state="frozen"/>
      <selection pane="bottomLeft" activeCell="B1" sqref="B1:D1048576"/>
    </sheetView>
  </sheetViews>
  <sheetFormatPr defaultColWidth="14.42578125" defaultRowHeight="15" customHeight="1" x14ac:dyDescent="0.25"/>
  <cols>
    <col min="1" max="1" width="8.7109375" customWidth="1"/>
    <col min="2" max="2" width="18.28515625" customWidth="1"/>
    <col min="3" max="3" width="15.42578125" customWidth="1"/>
    <col min="4" max="6" width="8.7109375" customWidth="1"/>
    <col min="7" max="7" width="15.140625" customWidth="1"/>
    <col min="8" max="26" width="8.7109375" customWidth="1"/>
  </cols>
  <sheetData>
    <row r="1" spans="1:7" x14ac:dyDescent="0.25">
      <c r="A1" t="s">
        <v>0</v>
      </c>
      <c r="B1" t="s">
        <v>7</v>
      </c>
      <c r="C1" t="s">
        <v>1</v>
      </c>
      <c r="D1" t="s">
        <v>2</v>
      </c>
      <c r="E1" t="s">
        <v>3</v>
      </c>
      <c r="F1" t="s">
        <v>4</v>
      </c>
      <c r="G1" t="s">
        <v>5</v>
      </c>
    </row>
    <row r="2" spans="1:7" x14ac:dyDescent="0.25">
      <c r="A2">
        <v>1</v>
      </c>
      <c r="B2" t="s">
        <v>214</v>
      </c>
      <c r="C2" t="s">
        <v>38</v>
      </c>
      <c r="D2">
        <f>87+99+87+99</f>
        <v>372</v>
      </c>
      <c r="E2">
        <f>36+60+45+53</f>
        <v>194</v>
      </c>
      <c r="F2">
        <v>2</v>
      </c>
      <c r="G2">
        <f>D2+E2</f>
        <v>566</v>
      </c>
    </row>
    <row r="3" spans="1:7" x14ac:dyDescent="0.25">
      <c r="A3">
        <v>2</v>
      </c>
      <c r="B3" t="s">
        <v>215</v>
      </c>
      <c r="C3" t="s">
        <v>38</v>
      </c>
      <c r="D3">
        <f>100+98+102+91</f>
        <v>391</v>
      </c>
      <c r="E3">
        <f>38+44+45+44</f>
        <v>171</v>
      </c>
      <c r="F3">
        <v>2</v>
      </c>
      <c r="G3">
        <f>D3+E3</f>
        <v>562</v>
      </c>
    </row>
    <row r="4" spans="1:7" x14ac:dyDescent="0.25">
      <c r="A4">
        <v>3</v>
      </c>
      <c r="B4" t="s">
        <v>37</v>
      </c>
      <c r="C4" t="s">
        <v>38</v>
      </c>
      <c r="D4">
        <f>94+80+87+94</f>
        <v>355</v>
      </c>
      <c r="E4">
        <f>43+61+61+41</f>
        <v>206</v>
      </c>
      <c r="F4">
        <v>1</v>
      </c>
      <c r="G4">
        <f>D4+E4</f>
        <v>561</v>
      </c>
    </row>
    <row r="5" spans="1:7" x14ac:dyDescent="0.25">
      <c r="A5">
        <v>4</v>
      </c>
      <c r="B5" s="21" t="s">
        <v>59</v>
      </c>
      <c r="C5" t="s">
        <v>48</v>
      </c>
      <c r="D5">
        <f>87+89+92+87</f>
        <v>355</v>
      </c>
      <c r="E5">
        <f>62+44+51+49</f>
        <v>206</v>
      </c>
      <c r="F5">
        <v>2</v>
      </c>
      <c r="G5">
        <f>D5+E5</f>
        <v>561</v>
      </c>
    </row>
    <row r="6" spans="1:7" x14ac:dyDescent="0.25">
      <c r="A6">
        <v>5</v>
      </c>
      <c r="B6" t="s">
        <v>64</v>
      </c>
      <c r="C6" t="s">
        <v>39</v>
      </c>
      <c r="D6">
        <f>104+87+89+93</f>
        <v>373</v>
      </c>
      <c r="E6">
        <f>52+36+50+36</f>
        <v>174</v>
      </c>
      <c r="F6">
        <f>1+3+2</f>
        <v>6</v>
      </c>
      <c r="G6">
        <f>D6+E6</f>
        <v>547</v>
      </c>
    </row>
    <row r="7" spans="1:7" x14ac:dyDescent="0.25">
      <c r="A7">
        <v>6</v>
      </c>
      <c r="B7" t="s">
        <v>140</v>
      </c>
      <c r="C7" t="s">
        <v>43</v>
      </c>
      <c r="D7">
        <f>99+96+79+94</f>
        <v>368</v>
      </c>
      <c r="E7">
        <f>62+35+44+33</f>
        <v>174</v>
      </c>
      <c r="F7">
        <f>1+3+1</f>
        <v>5</v>
      </c>
      <c r="G7">
        <f>D7+E7</f>
        <v>542</v>
      </c>
    </row>
    <row r="8" spans="1:7" x14ac:dyDescent="0.25">
      <c r="A8">
        <v>7</v>
      </c>
      <c r="B8" s="21" t="s">
        <v>46</v>
      </c>
      <c r="C8" t="s">
        <v>36</v>
      </c>
      <c r="D8">
        <f>91+100+83+94</f>
        <v>368</v>
      </c>
      <c r="E8">
        <f>40+53+45+34</f>
        <v>172</v>
      </c>
      <c r="F8" s="21">
        <f>1+1</f>
        <v>2</v>
      </c>
      <c r="G8">
        <f>D8+E8</f>
        <v>540</v>
      </c>
    </row>
    <row r="9" spans="1:7" x14ac:dyDescent="0.25">
      <c r="A9">
        <v>8</v>
      </c>
      <c r="B9" t="s">
        <v>54</v>
      </c>
      <c r="C9" t="s">
        <v>55</v>
      </c>
      <c r="D9">
        <f>87+93+84+91</f>
        <v>355</v>
      </c>
      <c r="E9">
        <f>36+44+50+53</f>
        <v>183</v>
      </c>
      <c r="F9">
        <f>0</f>
        <v>0</v>
      </c>
      <c r="G9">
        <f>D9+E9</f>
        <v>538</v>
      </c>
    </row>
    <row r="10" spans="1:7" x14ac:dyDescent="0.25">
      <c r="A10">
        <v>9</v>
      </c>
      <c r="B10" t="s">
        <v>44</v>
      </c>
      <c r="C10" t="s">
        <v>45</v>
      </c>
      <c r="D10">
        <f>96+92+85+89</f>
        <v>362</v>
      </c>
      <c r="E10">
        <f>51+42+30+53</f>
        <v>176</v>
      </c>
      <c r="F10">
        <v>3</v>
      </c>
      <c r="G10">
        <f>D10+E10</f>
        <v>538</v>
      </c>
    </row>
    <row r="11" spans="1:7" x14ac:dyDescent="0.25">
      <c r="A11">
        <v>10</v>
      </c>
      <c r="B11" t="s">
        <v>47</v>
      </c>
      <c r="C11" t="s">
        <v>48</v>
      </c>
      <c r="D11">
        <f>99+94+87+89</f>
        <v>369</v>
      </c>
      <c r="E11">
        <f>54+44+34+36</f>
        <v>168</v>
      </c>
      <c r="F11">
        <v>4</v>
      </c>
      <c r="G11">
        <f>D11+E11</f>
        <v>537</v>
      </c>
    </row>
    <row r="12" spans="1:7" x14ac:dyDescent="0.25">
      <c r="A12">
        <v>11</v>
      </c>
      <c r="B12" s="21" t="s">
        <v>143</v>
      </c>
      <c r="C12" t="s">
        <v>41</v>
      </c>
      <c r="D12">
        <f>96+74+99+91</f>
        <v>360</v>
      </c>
      <c r="E12">
        <f>35+45+52+44</f>
        <v>176</v>
      </c>
      <c r="F12">
        <f>2+1</f>
        <v>3</v>
      </c>
      <c r="G12">
        <f>D12+E12</f>
        <v>536</v>
      </c>
    </row>
    <row r="13" spans="1:7" x14ac:dyDescent="0.25">
      <c r="A13">
        <v>12</v>
      </c>
      <c r="B13" s="21" t="s">
        <v>188</v>
      </c>
      <c r="C13" t="s">
        <v>74</v>
      </c>
      <c r="D13">
        <f>91+91+98+98</f>
        <v>378</v>
      </c>
      <c r="E13">
        <f>42+44+36+35</f>
        <v>157</v>
      </c>
      <c r="F13">
        <f>1+1+1</f>
        <v>3</v>
      </c>
      <c r="G13">
        <f>D13+E13</f>
        <v>535</v>
      </c>
    </row>
    <row r="14" spans="1:7" x14ac:dyDescent="0.25">
      <c r="A14">
        <v>13</v>
      </c>
      <c r="B14" t="s">
        <v>58</v>
      </c>
      <c r="C14" t="s">
        <v>55</v>
      </c>
      <c r="D14">
        <f>100+94+74+93</f>
        <v>361</v>
      </c>
      <c r="E14">
        <f>32+51+44+44</f>
        <v>171</v>
      </c>
      <c r="F14">
        <f>3+1</f>
        <v>4</v>
      </c>
      <c r="G14">
        <f>D14+E14</f>
        <v>532</v>
      </c>
    </row>
    <row r="15" spans="1:7" x14ac:dyDescent="0.25">
      <c r="A15">
        <v>14</v>
      </c>
      <c r="B15" s="21" t="s">
        <v>49</v>
      </c>
      <c r="C15" t="s">
        <v>36</v>
      </c>
      <c r="D15">
        <f>83+92+85+81</f>
        <v>341</v>
      </c>
      <c r="E15">
        <f>48+53+42+44</f>
        <v>187</v>
      </c>
      <c r="F15">
        <f>1+1+1</f>
        <v>3</v>
      </c>
      <c r="G15">
        <f>D15+E15</f>
        <v>528</v>
      </c>
    </row>
    <row r="16" spans="1:7" x14ac:dyDescent="0.25">
      <c r="A16">
        <v>15</v>
      </c>
      <c r="B16" t="s">
        <v>40</v>
      </c>
      <c r="C16" t="s">
        <v>41</v>
      </c>
      <c r="D16">
        <f>90+81+91+88</f>
        <v>350</v>
      </c>
      <c r="E16">
        <f>54+33+26+63</f>
        <v>176</v>
      </c>
      <c r="F16">
        <f>2+2</f>
        <v>4</v>
      </c>
      <c r="G16">
        <f>D16+E16</f>
        <v>526</v>
      </c>
    </row>
    <row r="17" spans="1:7" x14ac:dyDescent="0.25">
      <c r="A17">
        <v>16</v>
      </c>
      <c r="B17" t="s">
        <v>42</v>
      </c>
      <c r="C17" t="s">
        <v>43</v>
      </c>
      <c r="D17">
        <f>93+86+93+86</f>
        <v>358</v>
      </c>
      <c r="E17">
        <f>35+45+44+43</f>
        <v>167</v>
      </c>
      <c r="F17">
        <f>2+2+3</f>
        <v>7</v>
      </c>
      <c r="G17">
        <f>D17+E17</f>
        <v>525</v>
      </c>
    </row>
    <row r="18" spans="1:7" x14ac:dyDescent="0.25">
      <c r="A18">
        <v>17</v>
      </c>
      <c r="B18" t="s">
        <v>35</v>
      </c>
      <c r="C18" t="s">
        <v>36</v>
      </c>
      <c r="D18">
        <f>94+77+88+90</f>
        <v>349</v>
      </c>
      <c r="E18">
        <f>48+43+40+43</f>
        <v>174</v>
      </c>
      <c r="F18">
        <f>2+2+2</f>
        <v>6</v>
      </c>
      <c r="G18">
        <f>D18+E18</f>
        <v>523</v>
      </c>
    </row>
    <row r="19" spans="1:7" x14ac:dyDescent="0.25">
      <c r="A19">
        <v>18</v>
      </c>
      <c r="B19" t="s">
        <v>60</v>
      </c>
      <c r="C19" t="s">
        <v>48</v>
      </c>
      <c r="D19">
        <f>100+99+78+86</f>
        <v>363</v>
      </c>
      <c r="E19">
        <f>35+44+36+45</f>
        <v>160</v>
      </c>
      <c r="F19">
        <v>6</v>
      </c>
      <c r="G19">
        <f>D19+E19</f>
        <v>523</v>
      </c>
    </row>
    <row r="20" spans="1:7" x14ac:dyDescent="0.25">
      <c r="A20">
        <v>19</v>
      </c>
      <c r="B20" t="s">
        <v>143</v>
      </c>
      <c r="C20" t="s">
        <v>43</v>
      </c>
      <c r="D20" s="21">
        <f>89+89+89+87</f>
        <v>354</v>
      </c>
      <c r="E20">
        <f>53+50+29+36</f>
        <v>168</v>
      </c>
      <c r="F20">
        <f>2+2+1</f>
        <v>5</v>
      </c>
      <c r="G20">
        <f>D20+E20</f>
        <v>522</v>
      </c>
    </row>
    <row r="21" spans="1:7" x14ac:dyDescent="0.25">
      <c r="A21">
        <v>20</v>
      </c>
      <c r="B21" t="s">
        <v>144</v>
      </c>
      <c r="C21" t="s">
        <v>56</v>
      </c>
      <c r="D21">
        <f>96+90+104+88</f>
        <v>378</v>
      </c>
      <c r="E21">
        <f>36+35+38+35</f>
        <v>144</v>
      </c>
      <c r="F21">
        <f>2+3+4</f>
        <v>9</v>
      </c>
      <c r="G21">
        <f>D21+E21</f>
        <v>522</v>
      </c>
    </row>
    <row r="22" spans="1:7" x14ac:dyDescent="0.25">
      <c r="A22">
        <v>21</v>
      </c>
      <c r="B22" t="s">
        <v>65</v>
      </c>
      <c r="C22" t="s">
        <v>53</v>
      </c>
      <c r="D22">
        <f>91+90+86+85</f>
        <v>352</v>
      </c>
      <c r="E22">
        <f>42+36+52+36</f>
        <v>166</v>
      </c>
      <c r="F22">
        <v>2</v>
      </c>
      <c r="G22">
        <f>D22+E22</f>
        <v>518</v>
      </c>
    </row>
    <row r="23" spans="1:7" x14ac:dyDescent="0.25">
      <c r="A23">
        <v>22</v>
      </c>
      <c r="B23" t="s">
        <v>220</v>
      </c>
      <c r="C23" t="s">
        <v>53</v>
      </c>
      <c r="D23">
        <f>72+92+97+86</f>
        <v>347</v>
      </c>
      <c r="E23">
        <f>34+32+45+58</f>
        <v>169</v>
      </c>
      <c r="F23">
        <f>1+2</f>
        <v>3</v>
      </c>
      <c r="G23">
        <f>D23+E23</f>
        <v>516</v>
      </c>
    </row>
    <row r="24" spans="1:7" x14ac:dyDescent="0.25">
      <c r="A24">
        <v>23</v>
      </c>
      <c r="B24" t="s">
        <v>51</v>
      </c>
      <c r="C24" t="s">
        <v>45</v>
      </c>
      <c r="D24">
        <f>93+74+89+80</f>
        <v>336</v>
      </c>
      <c r="E24">
        <f>43+45+54+36</f>
        <v>178</v>
      </c>
      <c r="F24">
        <v>3</v>
      </c>
      <c r="G24">
        <f>D24+E24</f>
        <v>514</v>
      </c>
    </row>
    <row r="25" spans="1:7" x14ac:dyDescent="0.25">
      <c r="A25">
        <v>24</v>
      </c>
      <c r="B25" t="s">
        <v>218</v>
      </c>
      <c r="C25" t="s">
        <v>53</v>
      </c>
      <c r="D25">
        <f>94+84+76+93</f>
        <v>347</v>
      </c>
      <c r="E25">
        <f>45+35+42+45</f>
        <v>167</v>
      </c>
      <c r="F25">
        <v>6</v>
      </c>
      <c r="G25">
        <f>D25+E25</f>
        <v>514</v>
      </c>
    </row>
    <row r="26" spans="1:7" x14ac:dyDescent="0.25">
      <c r="A26">
        <v>25</v>
      </c>
      <c r="B26" t="s">
        <v>63</v>
      </c>
      <c r="C26" t="s">
        <v>38</v>
      </c>
      <c r="D26">
        <f>81+93+102+80</f>
        <v>356</v>
      </c>
      <c r="E26">
        <f>35+44+41+35</f>
        <v>155</v>
      </c>
      <c r="F26">
        <v>5</v>
      </c>
      <c r="G26">
        <f>D26+E26</f>
        <v>511</v>
      </c>
    </row>
    <row r="27" spans="1:7" x14ac:dyDescent="0.25">
      <c r="A27">
        <v>26</v>
      </c>
      <c r="B27" s="21" t="s">
        <v>151</v>
      </c>
      <c r="C27" t="s">
        <v>36</v>
      </c>
      <c r="D27">
        <f>89+80+83+81</f>
        <v>333</v>
      </c>
      <c r="E27">
        <f>35+39+52+50</f>
        <v>176</v>
      </c>
      <c r="F27">
        <f>1</f>
        <v>1</v>
      </c>
      <c r="G27">
        <f>D27+E27</f>
        <v>509</v>
      </c>
    </row>
    <row r="28" spans="1:7" x14ac:dyDescent="0.25">
      <c r="A28">
        <v>27</v>
      </c>
      <c r="B28" t="s">
        <v>62</v>
      </c>
      <c r="C28" t="s">
        <v>48</v>
      </c>
      <c r="D28">
        <f>89+79+84+84</f>
        <v>336</v>
      </c>
      <c r="E28">
        <f>36+42+50+45</f>
        <v>173</v>
      </c>
      <c r="F28">
        <v>6</v>
      </c>
      <c r="G28">
        <f>D28+E28</f>
        <v>509</v>
      </c>
    </row>
    <row r="29" spans="1:7" x14ac:dyDescent="0.25">
      <c r="A29">
        <v>28</v>
      </c>
      <c r="B29" s="21" t="s">
        <v>201</v>
      </c>
      <c r="C29" s="21" t="s">
        <v>79</v>
      </c>
      <c r="D29">
        <f>78+88+94+93</f>
        <v>353</v>
      </c>
      <c r="E29">
        <f>45+32+29+43</f>
        <v>149</v>
      </c>
      <c r="F29">
        <f>3+1</f>
        <v>4</v>
      </c>
      <c r="G29">
        <f>D29+E29</f>
        <v>502</v>
      </c>
    </row>
    <row r="30" spans="1:7" x14ac:dyDescent="0.25">
      <c r="A30">
        <v>29</v>
      </c>
      <c r="B30" t="s">
        <v>68</v>
      </c>
      <c r="C30" t="s">
        <v>55</v>
      </c>
      <c r="D30">
        <f>74+87+96+93</f>
        <v>350</v>
      </c>
      <c r="E30">
        <f>36+43+36+36</f>
        <v>151</v>
      </c>
      <c r="F30">
        <f>2+1+1</f>
        <v>4</v>
      </c>
      <c r="G30">
        <f>D30+E30</f>
        <v>501</v>
      </c>
    </row>
    <row r="31" spans="1:7" x14ac:dyDescent="0.25">
      <c r="A31">
        <v>30</v>
      </c>
      <c r="B31" t="s">
        <v>59</v>
      </c>
      <c r="C31" t="s">
        <v>41</v>
      </c>
      <c r="D31">
        <f>81+85+94+86</f>
        <v>346</v>
      </c>
      <c r="E31">
        <f>36+26+39+53</f>
        <v>154</v>
      </c>
      <c r="F31">
        <v>4</v>
      </c>
      <c r="G31">
        <f>D31+E31</f>
        <v>500</v>
      </c>
    </row>
    <row r="32" spans="1:7" x14ac:dyDescent="0.25">
      <c r="A32">
        <v>31</v>
      </c>
      <c r="B32" t="s">
        <v>76</v>
      </c>
      <c r="C32" t="s">
        <v>74</v>
      </c>
      <c r="D32">
        <f>85+97+83+81</f>
        <v>346</v>
      </c>
      <c r="E32">
        <f>45+36+27+45</f>
        <v>153</v>
      </c>
      <c r="F32">
        <f>1+2+2+1</f>
        <v>6</v>
      </c>
      <c r="G32">
        <f>D32+E32</f>
        <v>499</v>
      </c>
    </row>
    <row r="33" spans="1:7" x14ac:dyDescent="0.25">
      <c r="A33">
        <v>32</v>
      </c>
      <c r="B33" t="s">
        <v>52</v>
      </c>
      <c r="C33" t="s">
        <v>53</v>
      </c>
      <c r="D33">
        <f>91+86+95+65</f>
        <v>337</v>
      </c>
      <c r="E33">
        <f>44+41+32+43</f>
        <v>160</v>
      </c>
      <c r="F33">
        <f>1+3+3+2</f>
        <v>9</v>
      </c>
      <c r="G33">
        <f>D33+E33</f>
        <v>497</v>
      </c>
    </row>
    <row r="34" spans="1:7" x14ac:dyDescent="0.25">
      <c r="A34">
        <v>33</v>
      </c>
      <c r="B34" s="21" t="s">
        <v>202</v>
      </c>
      <c r="C34" s="21" t="s">
        <v>79</v>
      </c>
      <c r="D34">
        <f>81+84+90+106</f>
        <v>361</v>
      </c>
      <c r="E34">
        <f>34+36+32+34</f>
        <v>136</v>
      </c>
      <c r="F34">
        <f>1+2+3+2</f>
        <v>8</v>
      </c>
      <c r="G34">
        <f>D34+E34</f>
        <v>497</v>
      </c>
    </row>
    <row r="35" spans="1:7" x14ac:dyDescent="0.25">
      <c r="A35">
        <v>34</v>
      </c>
      <c r="B35" t="s">
        <v>57</v>
      </c>
      <c r="C35" t="s">
        <v>55</v>
      </c>
      <c r="D35">
        <f>78+80+84+93</f>
        <v>335</v>
      </c>
      <c r="E35">
        <f>36+52+34+36</f>
        <v>158</v>
      </c>
      <c r="F35">
        <f>1+1</f>
        <v>2</v>
      </c>
      <c r="G35">
        <f>D35+E35</f>
        <v>493</v>
      </c>
    </row>
    <row r="36" spans="1:7" x14ac:dyDescent="0.25">
      <c r="A36">
        <v>35</v>
      </c>
      <c r="B36" t="s">
        <v>50</v>
      </c>
      <c r="C36" t="s">
        <v>43</v>
      </c>
      <c r="D36">
        <f>87+80+91+79</f>
        <v>337</v>
      </c>
      <c r="E36">
        <f>41+45+24+45</f>
        <v>155</v>
      </c>
      <c r="F36">
        <f>2+1</f>
        <v>3</v>
      </c>
      <c r="G36">
        <f>D36+E36</f>
        <v>492</v>
      </c>
    </row>
    <row r="37" spans="1:7" x14ac:dyDescent="0.25">
      <c r="A37">
        <v>36</v>
      </c>
      <c r="B37" t="s">
        <v>219</v>
      </c>
      <c r="C37" t="s">
        <v>39</v>
      </c>
      <c r="D37">
        <f>83+98+87+92</f>
        <v>360</v>
      </c>
      <c r="E37">
        <f>34+35+27+35</f>
        <v>131</v>
      </c>
      <c r="F37">
        <v>8</v>
      </c>
      <c r="G37">
        <f>D37+E37</f>
        <v>491</v>
      </c>
    </row>
    <row r="38" spans="1:7" x14ac:dyDescent="0.25">
      <c r="A38">
        <v>37</v>
      </c>
      <c r="B38" s="21" t="s">
        <v>170</v>
      </c>
      <c r="C38" t="s">
        <v>45</v>
      </c>
      <c r="D38">
        <f>89+87+95+82</f>
        <v>353</v>
      </c>
      <c r="E38">
        <f>26+35+36+32</f>
        <v>129</v>
      </c>
      <c r="F38">
        <v>9</v>
      </c>
      <c r="G38">
        <f>D38+E38</f>
        <v>482</v>
      </c>
    </row>
    <row r="39" spans="1:7" x14ac:dyDescent="0.25">
      <c r="A39">
        <v>38</v>
      </c>
      <c r="B39" t="s">
        <v>75</v>
      </c>
      <c r="C39" t="s">
        <v>56</v>
      </c>
      <c r="D39">
        <f>76+78+85+83</f>
        <v>322</v>
      </c>
      <c r="E39">
        <f>36+36+51+34</f>
        <v>157</v>
      </c>
      <c r="F39">
        <f>1+1+1+1</f>
        <v>4</v>
      </c>
      <c r="G39">
        <f>D39+E39</f>
        <v>479</v>
      </c>
    </row>
    <row r="40" spans="1:7" ht="15" customHeight="1" x14ac:dyDescent="0.25">
      <c r="A40">
        <v>39</v>
      </c>
      <c r="B40" s="21" t="s">
        <v>152</v>
      </c>
      <c r="C40" t="s">
        <v>41</v>
      </c>
      <c r="D40">
        <f>75+81+80+84</f>
        <v>320</v>
      </c>
      <c r="E40">
        <f>35+44+40+35</f>
        <v>154</v>
      </c>
      <c r="F40">
        <f>3+2+1</f>
        <v>6</v>
      </c>
      <c r="G40">
        <f>D40+E40</f>
        <v>474</v>
      </c>
    </row>
    <row r="41" spans="1:7" x14ac:dyDescent="0.25">
      <c r="A41">
        <v>40</v>
      </c>
      <c r="B41" s="21" t="s">
        <v>203</v>
      </c>
      <c r="C41" s="21" t="s">
        <v>79</v>
      </c>
      <c r="D41">
        <f>90+91+72+87</f>
        <v>340</v>
      </c>
      <c r="E41">
        <f>35+40+26+32</f>
        <v>133</v>
      </c>
      <c r="F41">
        <f>3+1+3</f>
        <v>7</v>
      </c>
      <c r="G41">
        <f>D41+E41</f>
        <v>473</v>
      </c>
    </row>
    <row r="42" spans="1:7" x14ac:dyDescent="0.25">
      <c r="A42">
        <v>41</v>
      </c>
      <c r="B42" s="21" t="s">
        <v>200</v>
      </c>
      <c r="C42" s="21" t="s">
        <v>79</v>
      </c>
      <c r="D42">
        <f>77+79+93+81</f>
        <v>330</v>
      </c>
      <c r="E42">
        <f>34+27+54+26</f>
        <v>141</v>
      </c>
      <c r="F42">
        <f>3+2+4</f>
        <v>9</v>
      </c>
      <c r="G42">
        <f>D42+E42</f>
        <v>471</v>
      </c>
    </row>
    <row r="43" spans="1:7" x14ac:dyDescent="0.25">
      <c r="A43">
        <v>42</v>
      </c>
      <c r="B43" s="21" t="s">
        <v>187</v>
      </c>
      <c r="C43" t="s">
        <v>74</v>
      </c>
      <c r="D43">
        <f>84+95+66+92</f>
        <v>337</v>
      </c>
      <c r="E43">
        <f>42+25+37+26</f>
        <v>130</v>
      </c>
      <c r="F43">
        <f>2+2+2+5</f>
        <v>11</v>
      </c>
      <c r="G43">
        <f>D43+E43</f>
        <v>467</v>
      </c>
    </row>
    <row r="44" spans="1:7" x14ac:dyDescent="0.25">
      <c r="A44">
        <v>43</v>
      </c>
      <c r="B44" t="s">
        <v>66</v>
      </c>
      <c r="C44" t="s">
        <v>45</v>
      </c>
      <c r="D44">
        <f>86+86+77+78</f>
        <v>327</v>
      </c>
      <c r="E44">
        <f>25+36+44+33</f>
        <v>138</v>
      </c>
      <c r="F44">
        <v>11</v>
      </c>
      <c r="G44">
        <f>D44+E44</f>
        <v>465</v>
      </c>
    </row>
    <row r="45" spans="1:7" ht="15" customHeight="1" x14ac:dyDescent="0.25">
      <c r="A45">
        <v>44</v>
      </c>
      <c r="B45" t="s">
        <v>80</v>
      </c>
      <c r="C45" t="s">
        <v>74</v>
      </c>
      <c r="D45">
        <f>77+80+81+79</f>
        <v>317</v>
      </c>
      <c r="E45">
        <f>32+34+33+35</f>
        <v>134</v>
      </c>
      <c r="F45">
        <f>2+1+2+3</f>
        <v>8</v>
      </c>
      <c r="G45">
        <f>D45+E45</f>
        <v>451</v>
      </c>
    </row>
    <row r="46" spans="1:7" x14ac:dyDescent="0.25">
      <c r="A46">
        <v>45</v>
      </c>
      <c r="B46" t="s">
        <v>142</v>
      </c>
      <c r="C46" t="s">
        <v>56</v>
      </c>
      <c r="D46">
        <f>82+72+91+76</f>
        <v>321</v>
      </c>
      <c r="E46">
        <f>34+26+36+34</f>
        <v>130</v>
      </c>
      <c r="F46">
        <f>1+3+2+1</f>
        <v>7</v>
      </c>
      <c r="G46">
        <f>D46+E46</f>
        <v>451</v>
      </c>
    </row>
    <row r="47" spans="1:7" x14ac:dyDescent="0.25">
      <c r="A47">
        <v>46</v>
      </c>
      <c r="B47" t="s">
        <v>77</v>
      </c>
      <c r="C47" t="s">
        <v>39</v>
      </c>
      <c r="D47">
        <f>95+70+81+82</f>
        <v>328</v>
      </c>
      <c r="E47">
        <f>34+26+27+23</f>
        <v>110</v>
      </c>
      <c r="F47">
        <f>6+2+2+9</f>
        <v>19</v>
      </c>
      <c r="G47">
        <f>D47+E47</f>
        <v>438</v>
      </c>
    </row>
    <row r="48" spans="1:7" ht="15" customHeight="1" x14ac:dyDescent="0.25">
      <c r="A48">
        <v>48</v>
      </c>
      <c r="B48" t="s">
        <v>221</v>
      </c>
      <c r="C48" t="s">
        <v>39</v>
      </c>
      <c r="D48">
        <f>85+89+75+66</f>
        <v>315</v>
      </c>
      <c r="E48">
        <f>32+26+35+26</f>
        <v>119</v>
      </c>
      <c r="F48">
        <f>3+4+5+3</f>
        <v>15</v>
      </c>
      <c r="G48">
        <f>D48+E48</f>
        <v>434</v>
      </c>
    </row>
    <row r="49" spans="1:7" ht="15" customHeight="1" x14ac:dyDescent="0.25">
      <c r="A49">
        <v>49</v>
      </c>
      <c r="B49" t="s">
        <v>141</v>
      </c>
      <c r="C49" t="s">
        <v>56</v>
      </c>
      <c r="D49">
        <f>83+86+73+72</f>
        <v>314</v>
      </c>
      <c r="E49">
        <f>25+34+25+35</f>
        <v>119</v>
      </c>
      <c r="F49">
        <f>1+2+3+4</f>
        <v>10</v>
      </c>
      <c r="G49">
        <f>D49+E49</f>
        <v>433</v>
      </c>
    </row>
  </sheetData>
  <autoFilter ref="A1:G49"/>
  <sortState ref="B2:G49">
    <sortCondition descending="1" ref="G2:G49"/>
    <sortCondition descending="1" ref="E2:E49"/>
    <sortCondition ref="F2:F49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F13"/>
  <sheetViews>
    <sheetView zoomScale="325" zoomScaleNormal="325" workbookViewId="0">
      <pane xSplit="1" topLeftCell="B1" activePane="topRight" state="frozen"/>
      <selection pane="topRight" activeCell="B1" sqref="B1:F1048576"/>
    </sheetView>
  </sheetViews>
  <sheetFormatPr defaultColWidth="14.42578125" defaultRowHeight="15" customHeight="1" x14ac:dyDescent="0.25"/>
  <cols>
    <col min="1" max="1" width="8.42578125" customWidth="1"/>
    <col min="2" max="2" width="15.42578125" customWidth="1"/>
    <col min="3" max="5" width="8.7109375" customWidth="1"/>
    <col min="6" max="6" width="15.140625" customWidth="1"/>
    <col min="7" max="26" width="8.7109375" customWidth="1"/>
  </cols>
  <sheetData>
    <row r="1" spans="1:6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x14ac:dyDescent="0.25">
      <c r="A2">
        <v>1</v>
      </c>
      <c r="B2" s="6" t="s">
        <v>38</v>
      </c>
      <c r="C2">
        <f>372+391+355+356</f>
        <v>1474</v>
      </c>
      <c r="D2">
        <f>194+206+171+155</f>
        <v>726</v>
      </c>
      <c r="E2">
        <f>2+1+2+5</f>
        <v>10</v>
      </c>
      <c r="F2">
        <f>C2+D2</f>
        <v>2200</v>
      </c>
    </row>
    <row r="3" spans="1:6" x14ac:dyDescent="0.25">
      <c r="A3">
        <v>2</v>
      </c>
      <c r="B3" s="6" t="s">
        <v>48</v>
      </c>
      <c r="C3">
        <f>355+363+369+336</f>
        <v>1423</v>
      </c>
      <c r="D3">
        <f>206+160+168+173</f>
        <v>707</v>
      </c>
      <c r="E3">
        <f>6+2+4+6</f>
        <v>18</v>
      </c>
      <c r="F3">
        <f>C3+D3</f>
        <v>2130</v>
      </c>
    </row>
    <row r="4" spans="1:6" x14ac:dyDescent="0.25">
      <c r="A4">
        <v>3</v>
      </c>
      <c r="B4" s="6" t="s">
        <v>36</v>
      </c>
      <c r="C4">
        <f>368+341+349+333</f>
        <v>1391</v>
      </c>
      <c r="D4">
        <f>172+187+174+176</f>
        <v>709</v>
      </c>
      <c r="E4">
        <f>2+3+6+1</f>
        <v>12</v>
      </c>
      <c r="F4">
        <f>C4+D4</f>
        <v>2100</v>
      </c>
    </row>
    <row r="5" spans="1:6" x14ac:dyDescent="0.25">
      <c r="A5">
        <v>4</v>
      </c>
      <c r="B5" s="6" t="s">
        <v>43</v>
      </c>
      <c r="C5">
        <f>337+368+354+358</f>
        <v>1417</v>
      </c>
      <c r="D5">
        <f>155+174+168+167</f>
        <v>664</v>
      </c>
      <c r="E5">
        <f>3+5+5+7</f>
        <v>20</v>
      </c>
      <c r="F5">
        <f>C5+D5</f>
        <v>2081</v>
      </c>
    </row>
    <row r="6" spans="1:6" x14ac:dyDescent="0.25">
      <c r="A6">
        <v>5</v>
      </c>
      <c r="B6" s="6" t="s">
        <v>55</v>
      </c>
      <c r="C6">
        <f>350+335+355+361</f>
        <v>1401</v>
      </c>
      <c r="D6">
        <f>151+158+183+171</f>
        <v>663</v>
      </c>
      <c r="E6">
        <f>4+2+4</f>
        <v>10</v>
      </c>
      <c r="F6">
        <f>C6+D6</f>
        <v>2064</v>
      </c>
    </row>
    <row r="7" spans="1:6" x14ac:dyDescent="0.25">
      <c r="A7">
        <v>6</v>
      </c>
      <c r="B7" s="6" t="s">
        <v>53</v>
      </c>
      <c r="C7">
        <f>337+347+352+347</f>
        <v>1383</v>
      </c>
      <c r="D7">
        <f>166+167+160+169</f>
        <v>662</v>
      </c>
      <c r="E7">
        <f>2+6+9+3</f>
        <v>20</v>
      </c>
      <c r="F7">
        <f>C7+D7</f>
        <v>2045</v>
      </c>
    </row>
    <row r="8" spans="1:6" x14ac:dyDescent="0.25">
      <c r="A8">
        <v>7</v>
      </c>
      <c r="B8" s="6" t="s">
        <v>41</v>
      </c>
      <c r="C8">
        <f>320+360+350+346</f>
        <v>1376</v>
      </c>
      <c r="D8">
        <f>154+154+176+176</f>
        <v>660</v>
      </c>
      <c r="E8">
        <f>4+3+6+4</f>
        <v>17</v>
      </c>
      <c r="F8">
        <f>C8+D8</f>
        <v>2036</v>
      </c>
    </row>
    <row r="9" spans="1:6" x14ac:dyDescent="0.25">
      <c r="A9">
        <v>8</v>
      </c>
      <c r="B9" s="6" t="s">
        <v>45</v>
      </c>
      <c r="C9">
        <f>327+362+353+336</f>
        <v>1378</v>
      </c>
      <c r="D9">
        <f>138+176+129+178</f>
        <v>621</v>
      </c>
      <c r="E9">
        <f>9+3+11+3</f>
        <v>26</v>
      </c>
      <c r="F9">
        <f>C9+D9</f>
        <v>1999</v>
      </c>
    </row>
    <row r="10" spans="1:6" x14ac:dyDescent="0.25">
      <c r="A10">
        <v>9</v>
      </c>
      <c r="B10" s="6" t="s">
        <v>74</v>
      </c>
      <c r="C10">
        <f>346+378+317+337</f>
        <v>1378</v>
      </c>
      <c r="D10">
        <f>153+157+134+130</f>
        <v>574</v>
      </c>
      <c r="E10">
        <f>6+3+8+11</f>
        <v>28</v>
      </c>
      <c r="F10">
        <f>C10+D10</f>
        <v>1952</v>
      </c>
    </row>
    <row r="11" spans="1:6" x14ac:dyDescent="0.25">
      <c r="A11">
        <v>10</v>
      </c>
      <c r="B11" s="10" t="s">
        <v>79</v>
      </c>
      <c r="C11">
        <f>330+353+361+340</f>
        <v>1384</v>
      </c>
      <c r="D11">
        <f>141+149+133+136</f>
        <v>559</v>
      </c>
      <c r="E11">
        <f>9+4+8+7</f>
        <v>28</v>
      </c>
      <c r="F11">
        <f>C11+D11</f>
        <v>1943</v>
      </c>
    </row>
    <row r="12" spans="1:6" x14ac:dyDescent="0.25">
      <c r="A12">
        <v>11</v>
      </c>
      <c r="B12" s="6" t="s">
        <v>39</v>
      </c>
      <c r="C12">
        <f>315+373+328+360</f>
        <v>1376</v>
      </c>
      <c r="D12">
        <f>119+174+110+131</f>
        <v>534</v>
      </c>
      <c r="E12">
        <f>19+8+15+6</f>
        <v>48</v>
      </c>
      <c r="F12">
        <f>C12+D12</f>
        <v>1910</v>
      </c>
    </row>
    <row r="13" spans="1:6" x14ac:dyDescent="0.25">
      <c r="A13" s="2">
        <v>12</v>
      </c>
      <c r="B13" s="6" t="s">
        <v>56</v>
      </c>
      <c r="C13">
        <f>314+321+378+322</f>
        <v>1335</v>
      </c>
      <c r="D13">
        <f>119+130+144+157</f>
        <v>550</v>
      </c>
      <c r="E13">
        <f>9+4+10+7</f>
        <v>30</v>
      </c>
      <c r="F13">
        <f>C13+D13</f>
        <v>1885</v>
      </c>
    </row>
  </sheetData>
  <autoFilter ref="B1:F13"/>
  <sortState ref="B2:F13">
    <sortCondition descending="1" ref="F2:F13"/>
    <sortCondition descending="1" ref="D2:D13"/>
    <sortCondition ref="E2:E13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Q1000"/>
  <sheetViews>
    <sheetView tabSelected="1" topLeftCell="A4" workbookViewId="0">
      <selection activeCell="B3" sqref="B3"/>
    </sheetView>
  </sheetViews>
  <sheetFormatPr defaultColWidth="14.42578125" defaultRowHeight="15" customHeight="1" x14ac:dyDescent="0.25"/>
  <cols>
    <col min="1" max="1" width="19.5703125" customWidth="1"/>
    <col min="2" max="2" width="27.85546875" bestFit="1" customWidth="1"/>
    <col min="3" max="3" width="11.140625" style="24" customWidth="1"/>
    <col min="4" max="6" width="8.7109375" style="26" customWidth="1"/>
    <col min="7" max="8" width="8.7109375" customWidth="1"/>
    <col min="9" max="9" width="1.42578125" customWidth="1"/>
    <col min="10" max="10" width="3.85546875" customWidth="1"/>
    <col min="11" max="11" width="24.85546875" customWidth="1"/>
    <col min="12" max="12" width="22.7109375" customWidth="1"/>
    <col min="13" max="13" width="22.5703125" bestFit="1" customWidth="1"/>
    <col min="14" max="14" width="8.7109375" customWidth="1"/>
    <col min="15" max="15" width="24.85546875" customWidth="1"/>
    <col min="16" max="16" width="23" customWidth="1"/>
    <col min="17" max="17" width="20.140625" customWidth="1"/>
    <col min="18" max="26" width="8.7109375" customWidth="1"/>
  </cols>
  <sheetData>
    <row r="1" spans="1:17" ht="26.25" x14ac:dyDescent="0.4">
      <c r="C1" s="23"/>
      <c r="K1" s="29" t="s">
        <v>100</v>
      </c>
      <c r="O1" s="29" t="s">
        <v>101</v>
      </c>
    </row>
    <row r="2" spans="1:17" x14ac:dyDescent="0.25">
      <c r="A2" t="s">
        <v>70</v>
      </c>
      <c r="B2" t="str">
        <f>'Igazolt egyéni'!B2</f>
        <v>Fancsik István</v>
      </c>
      <c r="C2" s="23">
        <f>'Igazolt egyéni'!G2</f>
        <v>566</v>
      </c>
    </row>
    <row r="3" spans="1:17" x14ac:dyDescent="0.25">
      <c r="A3" t="s">
        <v>71</v>
      </c>
      <c r="B3" t="s">
        <v>59</v>
      </c>
      <c r="C3" s="23">
        <v>561</v>
      </c>
    </row>
    <row r="4" spans="1:17" x14ac:dyDescent="0.25">
      <c r="A4" t="s">
        <v>72</v>
      </c>
      <c r="B4" t="s">
        <v>224</v>
      </c>
      <c r="C4" s="23">
        <v>547</v>
      </c>
    </row>
    <row r="5" spans="1:17" x14ac:dyDescent="0.25">
      <c r="C5" s="23"/>
    </row>
    <row r="6" spans="1:17" ht="75" customHeight="1" x14ac:dyDescent="0.25">
      <c r="A6" t="s">
        <v>73</v>
      </c>
      <c r="B6" t="str">
        <f>'Igazolt csapat'!B2</f>
        <v>BTK I.</v>
      </c>
      <c r="C6" s="23">
        <f>'Igazolt csapat'!F2</f>
        <v>2200</v>
      </c>
      <c r="L6" s="9" t="str">
        <f>B6</f>
        <v>BTK I.</v>
      </c>
      <c r="P6" s="9" t="str">
        <f>B2</f>
        <v>Fancsik István</v>
      </c>
    </row>
    <row r="7" spans="1:17" ht="53.25" customHeight="1" x14ac:dyDescent="0.25">
      <c r="A7" t="s">
        <v>78</v>
      </c>
      <c r="B7" t="str">
        <f>'Igazolt csapat'!B3</f>
        <v>Tiszakécske I.</v>
      </c>
      <c r="C7" s="23">
        <f>'Igazolt csapat'!F3</f>
        <v>2130</v>
      </c>
      <c r="L7" s="28">
        <f>C6</f>
        <v>2200</v>
      </c>
      <c r="M7" s="11" t="str">
        <f>B7</f>
        <v>Tiszakécske I.</v>
      </c>
      <c r="P7" s="28">
        <f>C2</f>
        <v>566</v>
      </c>
      <c r="Q7" s="9" t="str">
        <f>B3</f>
        <v>Kiss Viktor</v>
      </c>
    </row>
    <row r="8" spans="1:17" ht="21" x14ac:dyDescent="0.25">
      <c r="A8" t="s">
        <v>81</v>
      </c>
      <c r="B8" t="str">
        <f>'Igazolt csapat'!B4</f>
        <v>Szolnoki MÁV I.</v>
      </c>
      <c r="C8" s="23">
        <f>'Igazolt csapat'!F4</f>
        <v>2100</v>
      </c>
      <c r="K8" s="12" t="str">
        <f>B8</f>
        <v>Szolnoki MÁV I.</v>
      </c>
      <c r="L8" s="35" t="s">
        <v>82</v>
      </c>
      <c r="M8" s="31">
        <f>C7</f>
        <v>2130</v>
      </c>
      <c r="O8" s="9" t="str">
        <f>B4</f>
        <v xml:space="preserve">Simon Zoltán </v>
      </c>
      <c r="P8" s="35" t="s">
        <v>82</v>
      </c>
      <c r="Q8" s="28">
        <f>C3</f>
        <v>561</v>
      </c>
    </row>
    <row r="9" spans="1:17" ht="21" x14ac:dyDescent="0.25">
      <c r="C9" s="23"/>
      <c r="D9" s="26" t="s">
        <v>182</v>
      </c>
      <c r="K9" s="28">
        <f>C8</f>
        <v>2100</v>
      </c>
      <c r="L9" s="36"/>
      <c r="M9" s="35" t="s">
        <v>83</v>
      </c>
      <c r="O9" s="30">
        <f>C4</f>
        <v>547</v>
      </c>
      <c r="P9" s="36"/>
      <c r="Q9" s="35" t="s">
        <v>83</v>
      </c>
    </row>
    <row r="10" spans="1:17" ht="26.25" x14ac:dyDescent="0.25">
      <c r="A10" t="s">
        <v>84</v>
      </c>
      <c r="B10" t="str">
        <f>'Amatőr Egyéni'!B2</f>
        <v>Rakonczai Tibor</v>
      </c>
      <c r="C10" s="23">
        <f>'Amatőr Egyéni'!G2</f>
        <v>533</v>
      </c>
      <c r="D10" s="26">
        <f>'Amatőr Egyéni'!E2</f>
        <v>202</v>
      </c>
      <c r="K10" s="14" t="s">
        <v>85</v>
      </c>
      <c r="L10" s="37"/>
      <c r="M10" s="37"/>
      <c r="O10" s="14" t="s">
        <v>85</v>
      </c>
      <c r="P10" s="37"/>
      <c r="Q10" s="37"/>
    </row>
    <row r="11" spans="1:17" ht="22.5" customHeight="1" x14ac:dyDescent="0.25">
      <c r="A11" t="s">
        <v>86</v>
      </c>
      <c r="B11" t="str">
        <f>'Amatőr Egyéni'!B3</f>
        <v>Ifj. Csanki István</v>
      </c>
      <c r="C11" s="23">
        <f>'Amatőr Egyéni'!G3</f>
        <v>533</v>
      </c>
      <c r="D11" s="26">
        <f>'Amatőr Egyéni'!E3</f>
        <v>191</v>
      </c>
    </row>
    <row r="12" spans="1:17" ht="22.5" customHeight="1" x14ac:dyDescent="0.25">
      <c r="A12" t="s">
        <v>87</v>
      </c>
      <c r="B12" t="str">
        <f>'Amatőr Egyéni'!B4</f>
        <v>Nagy István</v>
      </c>
      <c r="C12" s="23">
        <f>'Amatőr Egyéni'!G4</f>
        <v>533</v>
      </c>
      <c r="D12" s="26">
        <f>'Amatőr Egyéni'!E4</f>
        <v>171</v>
      </c>
    </row>
    <row r="13" spans="1:17" ht="26.25" x14ac:dyDescent="0.4">
      <c r="C13" s="23"/>
      <c r="K13" s="8" t="s">
        <v>88</v>
      </c>
      <c r="O13" s="8" t="s">
        <v>89</v>
      </c>
    </row>
    <row r="14" spans="1:17" x14ac:dyDescent="0.25">
      <c r="A14" t="s">
        <v>90</v>
      </c>
      <c r="B14" t="str">
        <f>'Amatőr csapat'!B2</f>
        <v>HÓD-Boys</v>
      </c>
      <c r="C14" s="23">
        <f>'Amatőr csapat'!F2</f>
        <v>2095</v>
      </c>
    </row>
    <row r="15" spans="1:17" x14ac:dyDescent="0.25">
      <c r="A15" t="s">
        <v>91</v>
      </c>
      <c r="B15" t="str">
        <f>'Amatőr csapat'!B3</f>
        <v>HFTK II.</v>
      </c>
      <c r="C15" s="23">
        <f>'Amatőr csapat'!F3</f>
        <v>2045</v>
      </c>
    </row>
    <row r="16" spans="1:17" x14ac:dyDescent="0.25">
      <c r="A16" t="s">
        <v>92</v>
      </c>
      <c r="B16" t="str">
        <f>'Amatőr csapat'!B4</f>
        <v>Dúc-Bau Kft Törökszentmiklós</v>
      </c>
      <c r="C16" s="23">
        <f>'Amatőr csapat'!F4</f>
        <v>1995</v>
      </c>
    </row>
    <row r="17" spans="1:17" x14ac:dyDescent="0.25">
      <c r="C17" s="23"/>
    </row>
    <row r="18" spans="1:17" ht="44.25" customHeight="1" x14ac:dyDescent="0.25">
      <c r="A18" t="s">
        <v>93</v>
      </c>
      <c r="B18" s="7" t="str">
        <f>'Női egyéni'!B2</f>
        <v>Kovács Natália(Ifi)</v>
      </c>
      <c r="C18" s="23">
        <f>'Női egyéni'!G2</f>
        <v>520</v>
      </c>
      <c r="L18" s="16" t="str">
        <f>B22</f>
        <v xml:space="preserve">BTK Viktória </v>
      </c>
      <c r="P18" s="9" t="str">
        <f>B18</f>
        <v>Kovács Natália(Ifi)</v>
      </c>
    </row>
    <row r="19" spans="1:17" ht="43.5" customHeight="1" x14ac:dyDescent="0.25">
      <c r="A19" t="s">
        <v>94</v>
      </c>
      <c r="B19" s="15" t="str">
        <f>'Női egyéni'!B3</f>
        <v>Bene Ferencné</v>
      </c>
      <c r="C19" s="23">
        <f>'Női egyéni'!G3</f>
        <v>517</v>
      </c>
      <c r="L19" s="28">
        <f>C22</f>
        <v>1994</v>
      </c>
      <c r="M19" s="16" t="str">
        <f>B23</f>
        <v>Csak Csajok</v>
      </c>
      <c r="P19" s="28">
        <f>C18</f>
        <v>520</v>
      </c>
      <c r="Q19" s="9" t="str">
        <f>B19</f>
        <v>Bene Ferencné</v>
      </c>
    </row>
    <row r="20" spans="1:17" ht="21" x14ac:dyDescent="0.25">
      <c r="A20" t="s">
        <v>95</v>
      </c>
      <c r="B20" s="15" t="str">
        <f>'Női egyéni'!B4</f>
        <v>Horváth Hajnalka</v>
      </c>
      <c r="C20" s="23">
        <f>'Női egyéni'!G4</f>
        <v>509</v>
      </c>
      <c r="K20" s="16" t="str">
        <f>B24</f>
        <v>Tiszakécske Női</v>
      </c>
      <c r="L20" s="35" t="s">
        <v>82</v>
      </c>
      <c r="M20" s="28">
        <f>C23</f>
        <v>1863</v>
      </c>
      <c r="O20" s="9" t="str">
        <f>B20</f>
        <v>Horváth Hajnalka</v>
      </c>
      <c r="P20" s="35" t="s">
        <v>82</v>
      </c>
      <c r="Q20" s="28">
        <f>C19</f>
        <v>517</v>
      </c>
    </row>
    <row r="21" spans="1:17" ht="21" x14ac:dyDescent="0.25">
      <c r="C21" s="23"/>
      <c r="K21" s="28">
        <f>C24</f>
        <v>1771</v>
      </c>
      <c r="L21" s="36"/>
      <c r="M21" s="35" t="s">
        <v>83</v>
      </c>
      <c r="O21" s="28">
        <f>C20</f>
        <v>509</v>
      </c>
      <c r="P21" s="36"/>
      <c r="Q21" s="35" t="s">
        <v>83</v>
      </c>
    </row>
    <row r="22" spans="1:17" ht="26.25" x14ac:dyDescent="0.25">
      <c r="A22" t="s">
        <v>96</v>
      </c>
      <c r="B22" t="str">
        <f>'Női csapat'!B2</f>
        <v xml:space="preserve">BTK Viktória </v>
      </c>
      <c r="C22" s="23">
        <f>'Női csapat'!F2</f>
        <v>1994</v>
      </c>
      <c r="K22" s="14" t="s">
        <v>85</v>
      </c>
      <c r="L22" s="37"/>
      <c r="M22" s="37"/>
      <c r="O22" s="14" t="s">
        <v>85</v>
      </c>
      <c r="P22" s="37"/>
      <c r="Q22" s="37"/>
    </row>
    <row r="23" spans="1:17" x14ac:dyDescent="0.25">
      <c r="A23" t="s">
        <v>97</v>
      </c>
      <c r="B23" t="str">
        <f>'Női csapat'!B3</f>
        <v>Csak Csajok</v>
      </c>
      <c r="C23" s="23">
        <f>'Női csapat'!F3</f>
        <v>1863</v>
      </c>
    </row>
    <row r="24" spans="1:17" x14ac:dyDescent="0.25">
      <c r="A24" t="s">
        <v>98</v>
      </c>
      <c r="B24" t="str">
        <f>'Női csapat'!B4</f>
        <v>Tiszakécske Női</v>
      </c>
      <c r="C24" s="23">
        <f>'Női csapat'!F4</f>
        <v>1771</v>
      </c>
    </row>
    <row r="25" spans="1:17" x14ac:dyDescent="0.25">
      <c r="D25" s="27"/>
    </row>
    <row r="26" spans="1:17" x14ac:dyDescent="0.25">
      <c r="A26" t="s">
        <v>99</v>
      </c>
      <c r="B26" t="s">
        <v>225</v>
      </c>
      <c r="C26" s="24">
        <v>378</v>
      </c>
      <c r="D26" s="27"/>
    </row>
    <row r="27" spans="1:17" ht="26.25" x14ac:dyDescent="0.4">
      <c r="C27" s="23"/>
      <c r="K27" s="29" t="s">
        <v>67</v>
      </c>
      <c r="O27" s="29" t="s">
        <v>69</v>
      </c>
    </row>
    <row r="28" spans="1:17" x14ac:dyDescent="0.25">
      <c r="A28" t="s">
        <v>102</v>
      </c>
      <c r="B28" t="s">
        <v>222</v>
      </c>
      <c r="C28" s="24">
        <v>206</v>
      </c>
      <c r="D28" s="27"/>
    </row>
    <row r="29" spans="1:17" x14ac:dyDescent="0.25">
      <c r="C29" s="23"/>
    </row>
    <row r="30" spans="1:17" ht="15.75" thickBot="1" x14ac:dyDescent="0.3">
      <c r="A30" t="s">
        <v>103</v>
      </c>
      <c r="B30" t="s">
        <v>226</v>
      </c>
      <c r="C30" s="24">
        <v>538</v>
      </c>
    </row>
    <row r="31" spans="1:17" ht="15.75" thickBot="1" x14ac:dyDescent="0.3">
      <c r="C31" s="23"/>
      <c r="P31" s="33" t="str">
        <f>B10</f>
        <v>Rakonczai Tibor</v>
      </c>
    </row>
    <row r="32" spans="1:17" ht="21.75" thickBot="1" x14ac:dyDescent="0.3">
      <c r="A32" t="s">
        <v>104</v>
      </c>
      <c r="B32" s="21" t="s">
        <v>223</v>
      </c>
      <c r="C32" s="24">
        <v>562</v>
      </c>
      <c r="L32" s="9" t="str">
        <f>B14</f>
        <v>HÓD-Boys</v>
      </c>
      <c r="P32" s="34"/>
    </row>
    <row r="33" spans="1:17" ht="42.75" thickBot="1" x14ac:dyDescent="0.3">
      <c r="C33" s="23"/>
      <c r="L33" s="28">
        <f>C14</f>
        <v>2095</v>
      </c>
      <c r="M33" s="9" t="str">
        <f>B15</f>
        <v>HFTK II.</v>
      </c>
      <c r="P33" s="28">
        <f>C10</f>
        <v>533</v>
      </c>
      <c r="Q33" s="9" t="str">
        <f>B11</f>
        <v>Ifj. Csanki István</v>
      </c>
    </row>
    <row r="34" spans="1:17" ht="42.75" customHeight="1" x14ac:dyDescent="0.25">
      <c r="A34" t="s">
        <v>105</v>
      </c>
      <c r="B34" s="21" t="s">
        <v>214</v>
      </c>
      <c r="C34" s="25">
        <v>566</v>
      </c>
      <c r="K34" s="11" t="str">
        <f>B16</f>
        <v>Dúc-Bau Kft Törökszentmiklós</v>
      </c>
      <c r="L34" s="13" t="s">
        <v>82</v>
      </c>
      <c r="M34" s="28">
        <f>C15</f>
        <v>2045</v>
      </c>
      <c r="O34" s="9" t="str">
        <f>B12</f>
        <v>Nagy István</v>
      </c>
      <c r="P34" s="13" t="s">
        <v>82</v>
      </c>
      <c r="Q34" s="28">
        <f>C11</f>
        <v>533</v>
      </c>
    </row>
    <row r="35" spans="1:17" ht="22.5" customHeight="1" x14ac:dyDescent="0.25">
      <c r="K35" s="28">
        <f>C16</f>
        <v>1995</v>
      </c>
      <c r="L35" s="17"/>
      <c r="M35" s="13" t="s">
        <v>83</v>
      </c>
      <c r="O35" s="32">
        <f>C12</f>
        <v>533</v>
      </c>
      <c r="P35" s="17"/>
      <c r="Q35" s="13" t="s">
        <v>83</v>
      </c>
    </row>
    <row r="36" spans="1:17" ht="26.25" x14ac:dyDescent="0.25">
      <c r="C36" s="23"/>
      <c r="K36" s="14" t="s">
        <v>85</v>
      </c>
      <c r="L36" s="18"/>
      <c r="M36" s="18"/>
      <c r="O36" s="14" t="s">
        <v>85</v>
      </c>
      <c r="P36" s="18"/>
      <c r="Q36" s="18"/>
    </row>
    <row r="37" spans="1:17" x14ac:dyDescent="0.25">
      <c r="C37" s="23"/>
    </row>
    <row r="38" spans="1:17" x14ac:dyDescent="0.25">
      <c r="C38" s="23"/>
    </row>
    <row r="39" spans="1:17" x14ac:dyDescent="0.25">
      <c r="C39" s="23"/>
    </row>
    <row r="40" spans="1:17" x14ac:dyDescent="0.25">
      <c r="C40" s="23"/>
    </row>
    <row r="41" spans="1:17" x14ac:dyDescent="0.25">
      <c r="C41" s="23"/>
    </row>
    <row r="42" spans="1:17" x14ac:dyDescent="0.25">
      <c r="C42" s="23"/>
    </row>
    <row r="43" spans="1:17" x14ac:dyDescent="0.25">
      <c r="C43" s="23"/>
    </row>
    <row r="44" spans="1:17" x14ac:dyDescent="0.25">
      <c r="C44" s="23"/>
    </row>
    <row r="45" spans="1:17" x14ac:dyDescent="0.25">
      <c r="C45" s="23"/>
    </row>
    <row r="46" spans="1:17" x14ac:dyDescent="0.25">
      <c r="C46" s="23"/>
    </row>
    <row r="47" spans="1:17" x14ac:dyDescent="0.25">
      <c r="C47" s="23"/>
    </row>
    <row r="48" spans="1:17" x14ac:dyDescent="0.25">
      <c r="C48" s="23"/>
    </row>
    <row r="49" spans="3:3" x14ac:dyDescent="0.25">
      <c r="C49" s="23"/>
    </row>
    <row r="50" spans="3:3" x14ac:dyDescent="0.25">
      <c r="C50" s="23"/>
    </row>
    <row r="51" spans="3:3" x14ac:dyDescent="0.25">
      <c r="C51" s="23"/>
    </row>
    <row r="52" spans="3:3" x14ac:dyDescent="0.25">
      <c r="C52" s="23"/>
    </row>
    <row r="53" spans="3:3" x14ac:dyDescent="0.25">
      <c r="C53" s="23"/>
    </row>
    <row r="54" spans="3:3" x14ac:dyDescent="0.25">
      <c r="C54" s="23"/>
    </row>
    <row r="55" spans="3:3" x14ac:dyDescent="0.25">
      <c r="C55" s="23"/>
    </row>
    <row r="56" spans="3:3" x14ac:dyDescent="0.25">
      <c r="C56" s="23"/>
    </row>
    <row r="57" spans="3:3" x14ac:dyDescent="0.25">
      <c r="C57" s="23"/>
    </row>
    <row r="58" spans="3:3" x14ac:dyDescent="0.25">
      <c r="C58" s="23"/>
    </row>
    <row r="59" spans="3:3" x14ac:dyDescent="0.25">
      <c r="C59" s="23"/>
    </row>
    <row r="60" spans="3:3" x14ac:dyDescent="0.25">
      <c r="C60" s="23"/>
    </row>
    <row r="61" spans="3:3" x14ac:dyDescent="0.25">
      <c r="C61" s="23"/>
    </row>
    <row r="62" spans="3:3" x14ac:dyDescent="0.25">
      <c r="C62" s="23"/>
    </row>
    <row r="63" spans="3:3" x14ac:dyDescent="0.25">
      <c r="C63" s="23"/>
    </row>
    <row r="64" spans="3:3" x14ac:dyDescent="0.25">
      <c r="C64" s="23"/>
    </row>
    <row r="65" spans="3:3" x14ac:dyDescent="0.25">
      <c r="C65" s="23"/>
    </row>
    <row r="66" spans="3:3" x14ac:dyDescent="0.25">
      <c r="C66" s="23"/>
    </row>
    <row r="67" spans="3:3" x14ac:dyDescent="0.25">
      <c r="C67" s="23"/>
    </row>
    <row r="68" spans="3:3" x14ac:dyDescent="0.25">
      <c r="C68" s="23"/>
    </row>
    <row r="69" spans="3:3" x14ac:dyDescent="0.25">
      <c r="C69" s="23"/>
    </row>
    <row r="70" spans="3:3" x14ac:dyDescent="0.25">
      <c r="C70" s="23"/>
    </row>
    <row r="71" spans="3:3" x14ac:dyDescent="0.25">
      <c r="C71" s="23"/>
    </row>
    <row r="72" spans="3:3" x14ac:dyDescent="0.25">
      <c r="C72" s="23"/>
    </row>
    <row r="73" spans="3:3" x14ac:dyDescent="0.25">
      <c r="C73" s="23"/>
    </row>
    <row r="74" spans="3:3" x14ac:dyDescent="0.25">
      <c r="C74" s="23"/>
    </row>
    <row r="75" spans="3:3" x14ac:dyDescent="0.25">
      <c r="C75" s="23"/>
    </row>
    <row r="76" spans="3:3" x14ac:dyDescent="0.25">
      <c r="C76" s="23"/>
    </row>
    <row r="77" spans="3:3" x14ac:dyDescent="0.25">
      <c r="C77" s="23"/>
    </row>
    <row r="78" spans="3:3" x14ac:dyDescent="0.25">
      <c r="C78" s="23"/>
    </row>
    <row r="79" spans="3:3" x14ac:dyDescent="0.25">
      <c r="C79" s="23"/>
    </row>
    <row r="80" spans="3:3" x14ac:dyDescent="0.25">
      <c r="C80" s="23"/>
    </row>
    <row r="81" spans="3:3" x14ac:dyDescent="0.25">
      <c r="C81" s="23"/>
    </row>
    <row r="82" spans="3:3" x14ac:dyDescent="0.25">
      <c r="C82" s="23"/>
    </row>
    <row r="83" spans="3:3" x14ac:dyDescent="0.25">
      <c r="C83" s="23"/>
    </row>
    <row r="84" spans="3:3" x14ac:dyDescent="0.25">
      <c r="C84" s="23"/>
    </row>
    <row r="85" spans="3:3" x14ac:dyDescent="0.25">
      <c r="C85" s="23"/>
    </row>
    <row r="86" spans="3:3" x14ac:dyDescent="0.25">
      <c r="C86" s="23"/>
    </row>
    <row r="87" spans="3:3" x14ac:dyDescent="0.25">
      <c r="C87" s="23"/>
    </row>
    <row r="88" spans="3:3" x14ac:dyDescent="0.25">
      <c r="C88" s="23"/>
    </row>
    <row r="89" spans="3:3" x14ac:dyDescent="0.25">
      <c r="C89" s="23"/>
    </row>
    <row r="90" spans="3:3" x14ac:dyDescent="0.25">
      <c r="C90" s="23"/>
    </row>
    <row r="91" spans="3:3" x14ac:dyDescent="0.25">
      <c r="C91" s="23"/>
    </row>
    <row r="92" spans="3:3" x14ac:dyDescent="0.25">
      <c r="C92" s="23"/>
    </row>
    <row r="93" spans="3:3" x14ac:dyDescent="0.25">
      <c r="C93" s="23"/>
    </row>
    <row r="94" spans="3:3" x14ac:dyDescent="0.25">
      <c r="C94" s="23"/>
    </row>
    <row r="95" spans="3:3" x14ac:dyDescent="0.25">
      <c r="C95" s="23"/>
    </row>
    <row r="96" spans="3:3" x14ac:dyDescent="0.25">
      <c r="C96" s="23"/>
    </row>
    <row r="97" spans="3:3" x14ac:dyDescent="0.25">
      <c r="C97" s="23"/>
    </row>
    <row r="98" spans="3:3" x14ac:dyDescent="0.25">
      <c r="C98" s="23"/>
    </row>
    <row r="99" spans="3:3" x14ac:dyDescent="0.25">
      <c r="C99" s="23"/>
    </row>
    <row r="100" spans="3:3" x14ac:dyDescent="0.25">
      <c r="C100" s="23"/>
    </row>
    <row r="101" spans="3:3" x14ac:dyDescent="0.25">
      <c r="C101" s="23"/>
    </row>
    <row r="102" spans="3:3" x14ac:dyDescent="0.25">
      <c r="C102" s="23"/>
    </row>
    <row r="103" spans="3:3" x14ac:dyDescent="0.25">
      <c r="C103" s="23"/>
    </row>
    <row r="104" spans="3:3" x14ac:dyDescent="0.25">
      <c r="C104" s="23"/>
    </row>
    <row r="105" spans="3:3" x14ac:dyDescent="0.25">
      <c r="C105" s="23"/>
    </row>
    <row r="106" spans="3:3" x14ac:dyDescent="0.25">
      <c r="C106" s="23"/>
    </row>
    <row r="107" spans="3:3" x14ac:dyDescent="0.25">
      <c r="C107" s="23"/>
    </row>
    <row r="108" spans="3:3" x14ac:dyDescent="0.25">
      <c r="C108" s="23"/>
    </row>
    <row r="109" spans="3:3" x14ac:dyDescent="0.25">
      <c r="C109" s="23"/>
    </row>
    <row r="110" spans="3:3" x14ac:dyDescent="0.25">
      <c r="C110" s="23"/>
    </row>
    <row r="111" spans="3:3" x14ac:dyDescent="0.25">
      <c r="C111" s="23"/>
    </row>
    <row r="112" spans="3:3" x14ac:dyDescent="0.25">
      <c r="C112" s="23"/>
    </row>
    <row r="113" spans="3:3" x14ac:dyDescent="0.25">
      <c r="C113" s="23"/>
    </row>
    <row r="114" spans="3:3" x14ac:dyDescent="0.25">
      <c r="C114" s="23"/>
    </row>
    <row r="115" spans="3:3" x14ac:dyDescent="0.25">
      <c r="C115" s="23"/>
    </row>
    <row r="116" spans="3:3" x14ac:dyDescent="0.25">
      <c r="C116" s="23"/>
    </row>
    <row r="117" spans="3:3" x14ac:dyDescent="0.25">
      <c r="C117" s="23"/>
    </row>
    <row r="118" spans="3:3" x14ac:dyDescent="0.25">
      <c r="C118" s="23"/>
    </row>
    <row r="119" spans="3:3" x14ac:dyDescent="0.25">
      <c r="C119" s="23"/>
    </row>
    <row r="120" spans="3:3" x14ac:dyDescent="0.25">
      <c r="C120" s="23"/>
    </row>
    <row r="121" spans="3:3" x14ac:dyDescent="0.25">
      <c r="C121" s="23"/>
    </row>
    <row r="122" spans="3:3" x14ac:dyDescent="0.25">
      <c r="C122" s="23"/>
    </row>
    <row r="123" spans="3:3" x14ac:dyDescent="0.25">
      <c r="C123" s="23"/>
    </row>
    <row r="124" spans="3:3" x14ac:dyDescent="0.25">
      <c r="C124" s="23"/>
    </row>
    <row r="125" spans="3:3" x14ac:dyDescent="0.25">
      <c r="C125" s="23"/>
    </row>
    <row r="126" spans="3:3" x14ac:dyDescent="0.25">
      <c r="C126" s="23"/>
    </row>
    <row r="127" spans="3:3" x14ac:dyDescent="0.25">
      <c r="C127" s="23"/>
    </row>
    <row r="128" spans="3:3" x14ac:dyDescent="0.25">
      <c r="C128" s="23"/>
    </row>
    <row r="129" spans="3:3" x14ac:dyDescent="0.25">
      <c r="C129" s="23"/>
    </row>
    <row r="130" spans="3:3" x14ac:dyDescent="0.25">
      <c r="C130" s="23"/>
    </row>
    <row r="131" spans="3:3" x14ac:dyDescent="0.25">
      <c r="C131" s="23"/>
    </row>
    <row r="132" spans="3:3" x14ac:dyDescent="0.25">
      <c r="C132" s="23"/>
    </row>
    <row r="133" spans="3:3" x14ac:dyDescent="0.25">
      <c r="C133" s="23"/>
    </row>
    <row r="134" spans="3:3" x14ac:dyDescent="0.25">
      <c r="C134" s="23"/>
    </row>
    <row r="135" spans="3:3" x14ac:dyDescent="0.25">
      <c r="C135" s="23"/>
    </row>
    <row r="136" spans="3:3" x14ac:dyDescent="0.25">
      <c r="C136" s="23"/>
    </row>
    <row r="137" spans="3:3" x14ac:dyDescent="0.25">
      <c r="C137" s="23"/>
    </row>
    <row r="138" spans="3:3" x14ac:dyDescent="0.25">
      <c r="C138" s="23"/>
    </row>
    <row r="139" spans="3:3" x14ac:dyDescent="0.25">
      <c r="C139" s="23"/>
    </row>
    <row r="140" spans="3:3" x14ac:dyDescent="0.25">
      <c r="C140" s="23"/>
    </row>
    <row r="141" spans="3:3" x14ac:dyDescent="0.25">
      <c r="C141" s="23"/>
    </row>
    <row r="142" spans="3:3" x14ac:dyDescent="0.25">
      <c r="C142" s="23"/>
    </row>
    <row r="143" spans="3:3" x14ac:dyDescent="0.25">
      <c r="C143" s="23"/>
    </row>
    <row r="144" spans="3:3" x14ac:dyDescent="0.25">
      <c r="C144" s="23"/>
    </row>
    <row r="145" spans="3:3" x14ac:dyDescent="0.25">
      <c r="C145" s="23"/>
    </row>
    <row r="146" spans="3:3" x14ac:dyDescent="0.25">
      <c r="C146" s="23"/>
    </row>
    <row r="147" spans="3:3" x14ac:dyDescent="0.25">
      <c r="C147" s="23"/>
    </row>
    <row r="148" spans="3:3" x14ac:dyDescent="0.25">
      <c r="C148" s="23"/>
    </row>
    <row r="149" spans="3:3" x14ac:dyDescent="0.25">
      <c r="C149" s="23"/>
    </row>
    <row r="150" spans="3:3" x14ac:dyDescent="0.25">
      <c r="C150" s="23"/>
    </row>
    <row r="151" spans="3:3" x14ac:dyDescent="0.25">
      <c r="C151" s="23"/>
    </row>
    <row r="152" spans="3:3" x14ac:dyDescent="0.25">
      <c r="C152" s="23"/>
    </row>
    <row r="153" spans="3:3" x14ac:dyDescent="0.25">
      <c r="C153" s="23"/>
    </row>
    <row r="154" spans="3:3" x14ac:dyDescent="0.25">
      <c r="C154" s="23"/>
    </row>
    <row r="155" spans="3:3" x14ac:dyDescent="0.25">
      <c r="C155" s="23"/>
    </row>
    <row r="156" spans="3:3" x14ac:dyDescent="0.25">
      <c r="C156" s="23"/>
    </row>
    <row r="157" spans="3:3" x14ac:dyDescent="0.25">
      <c r="C157" s="23"/>
    </row>
    <row r="158" spans="3:3" x14ac:dyDescent="0.25">
      <c r="C158" s="23"/>
    </row>
    <row r="159" spans="3:3" x14ac:dyDescent="0.25">
      <c r="C159" s="23"/>
    </row>
    <row r="160" spans="3:3" x14ac:dyDescent="0.25">
      <c r="C160" s="23"/>
    </row>
    <row r="161" spans="3:3" x14ac:dyDescent="0.25">
      <c r="C161" s="23"/>
    </row>
    <row r="162" spans="3:3" x14ac:dyDescent="0.25">
      <c r="C162" s="23"/>
    </row>
    <row r="163" spans="3:3" x14ac:dyDescent="0.25">
      <c r="C163" s="23"/>
    </row>
    <row r="164" spans="3:3" x14ac:dyDescent="0.25">
      <c r="C164" s="23"/>
    </row>
    <row r="165" spans="3:3" x14ac:dyDescent="0.25">
      <c r="C165" s="23"/>
    </row>
    <row r="166" spans="3:3" x14ac:dyDescent="0.25">
      <c r="C166" s="23"/>
    </row>
    <row r="167" spans="3:3" x14ac:dyDescent="0.25">
      <c r="C167" s="23"/>
    </row>
    <row r="168" spans="3:3" x14ac:dyDescent="0.25">
      <c r="C168" s="23"/>
    </row>
    <row r="169" spans="3:3" x14ac:dyDescent="0.25">
      <c r="C169" s="23"/>
    </row>
    <row r="170" spans="3:3" x14ac:dyDescent="0.25">
      <c r="C170" s="23"/>
    </row>
    <row r="171" spans="3:3" x14ac:dyDescent="0.25">
      <c r="C171" s="23"/>
    </row>
    <row r="172" spans="3:3" x14ac:dyDescent="0.25">
      <c r="C172" s="23"/>
    </row>
    <row r="173" spans="3:3" x14ac:dyDescent="0.25">
      <c r="C173" s="23"/>
    </row>
    <row r="174" spans="3:3" x14ac:dyDescent="0.25">
      <c r="C174" s="23"/>
    </row>
    <row r="175" spans="3:3" x14ac:dyDescent="0.25">
      <c r="C175" s="23"/>
    </row>
    <row r="176" spans="3:3" x14ac:dyDescent="0.25">
      <c r="C176" s="23"/>
    </row>
    <row r="177" spans="3:3" x14ac:dyDescent="0.25">
      <c r="C177" s="23"/>
    </row>
    <row r="178" spans="3:3" x14ac:dyDescent="0.25">
      <c r="C178" s="23"/>
    </row>
    <row r="179" spans="3:3" x14ac:dyDescent="0.25">
      <c r="C179" s="23"/>
    </row>
    <row r="180" spans="3:3" x14ac:dyDescent="0.25">
      <c r="C180" s="23"/>
    </row>
    <row r="181" spans="3:3" x14ac:dyDescent="0.25">
      <c r="C181" s="23"/>
    </row>
    <row r="182" spans="3:3" x14ac:dyDescent="0.25">
      <c r="C182" s="23"/>
    </row>
    <row r="183" spans="3:3" x14ac:dyDescent="0.25">
      <c r="C183" s="23"/>
    </row>
    <row r="184" spans="3:3" x14ac:dyDescent="0.25">
      <c r="C184" s="23"/>
    </row>
    <row r="185" spans="3:3" x14ac:dyDescent="0.25">
      <c r="C185" s="23"/>
    </row>
    <row r="186" spans="3:3" x14ac:dyDescent="0.25">
      <c r="C186" s="23"/>
    </row>
    <row r="187" spans="3:3" x14ac:dyDescent="0.25">
      <c r="C187" s="23"/>
    </row>
    <row r="188" spans="3:3" x14ac:dyDescent="0.25">
      <c r="C188" s="23"/>
    </row>
    <row r="189" spans="3:3" x14ac:dyDescent="0.25">
      <c r="C189" s="23"/>
    </row>
    <row r="190" spans="3:3" x14ac:dyDescent="0.25">
      <c r="C190" s="23"/>
    </row>
    <row r="191" spans="3:3" x14ac:dyDescent="0.25">
      <c r="C191" s="23"/>
    </row>
    <row r="192" spans="3:3" x14ac:dyDescent="0.25">
      <c r="C192" s="23"/>
    </row>
    <row r="193" spans="3:3" x14ac:dyDescent="0.25">
      <c r="C193" s="23"/>
    </row>
    <row r="194" spans="3:3" x14ac:dyDescent="0.25">
      <c r="C194" s="23"/>
    </row>
    <row r="195" spans="3:3" x14ac:dyDescent="0.25">
      <c r="C195" s="23"/>
    </row>
    <row r="196" spans="3:3" x14ac:dyDescent="0.25">
      <c r="C196" s="23"/>
    </row>
    <row r="197" spans="3:3" x14ac:dyDescent="0.25">
      <c r="C197" s="23"/>
    </row>
    <row r="198" spans="3:3" x14ac:dyDescent="0.25">
      <c r="C198" s="23"/>
    </row>
    <row r="199" spans="3:3" x14ac:dyDescent="0.25">
      <c r="C199" s="23"/>
    </row>
    <row r="200" spans="3:3" x14ac:dyDescent="0.25">
      <c r="C200" s="23"/>
    </row>
    <row r="201" spans="3:3" x14ac:dyDescent="0.25">
      <c r="C201" s="23"/>
    </row>
    <row r="202" spans="3:3" x14ac:dyDescent="0.25">
      <c r="C202" s="23"/>
    </row>
    <row r="203" spans="3:3" x14ac:dyDescent="0.25">
      <c r="C203" s="23"/>
    </row>
    <row r="204" spans="3:3" x14ac:dyDescent="0.25">
      <c r="C204" s="23"/>
    </row>
    <row r="205" spans="3:3" x14ac:dyDescent="0.25">
      <c r="C205" s="23"/>
    </row>
    <row r="206" spans="3:3" x14ac:dyDescent="0.25">
      <c r="C206" s="23"/>
    </row>
    <row r="207" spans="3:3" x14ac:dyDescent="0.25">
      <c r="C207" s="23"/>
    </row>
    <row r="208" spans="3:3" x14ac:dyDescent="0.25">
      <c r="C208" s="23"/>
    </row>
    <row r="209" spans="3:3" x14ac:dyDescent="0.25">
      <c r="C209" s="23"/>
    </row>
    <row r="210" spans="3:3" x14ac:dyDescent="0.25">
      <c r="C210" s="23"/>
    </row>
    <row r="211" spans="3:3" x14ac:dyDescent="0.25">
      <c r="C211" s="23"/>
    </row>
    <row r="212" spans="3:3" x14ac:dyDescent="0.25">
      <c r="C212" s="23"/>
    </row>
    <row r="213" spans="3:3" x14ac:dyDescent="0.25">
      <c r="C213" s="23"/>
    </row>
    <row r="214" spans="3:3" x14ac:dyDescent="0.25">
      <c r="C214" s="23"/>
    </row>
    <row r="215" spans="3:3" x14ac:dyDescent="0.25">
      <c r="C215" s="23"/>
    </row>
    <row r="216" spans="3:3" x14ac:dyDescent="0.25">
      <c r="C216" s="23"/>
    </row>
    <row r="217" spans="3:3" x14ac:dyDescent="0.25">
      <c r="C217" s="23"/>
    </row>
    <row r="218" spans="3:3" x14ac:dyDescent="0.25">
      <c r="C218" s="23"/>
    </row>
    <row r="219" spans="3:3" x14ac:dyDescent="0.25">
      <c r="C219" s="23"/>
    </row>
    <row r="220" spans="3:3" x14ac:dyDescent="0.25">
      <c r="C220" s="23"/>
    </row>
    <row r="221" spans="3:3" x14ac:dyDescent="0.25">
      <c r="C221" s="23"/>
    </row>
    <row r="222" spans="3:3" x14ac:dyDescent="0.25">
      <c r="C222" s="23"/>
    </row>
    <row r="223" spans="3:3" x14ac:dyDescent="0.25">
      <c r="C223" s="23"/>
    </row>
    <row r="224" spans="3:3" x14ac:dyDescent="0.25">
      <c r="C224" s="23"/>
    </row>
    <row r="225" spans="3:3" x14ac:dyDescent="0.25">
      <c r="C225" s="23"/>
    </row>
    <row r="226" spans="3:3" x14ac:dyDescent="0.25">
      <c r="C226" s="23"/>
    </row>
    <row r="227" spans="3:3" x14ac:dyDescent="0.25">
      <c r="C227" s="23"/>
    </row>
    <row r="228" spans="3:3" x14ac:dyDescent="0.25">
      <c r="C228" s="23"/>
    </row>
    <row r="229" spans="3:3" x14ac:dyDescent="0.25">
      <c r="C229" s="23"/>
    </row>
    <row r="230" spans="3:3" x14ac:dyDescent="0.25">
      <c r="C230" s="23"/>
    </row>
    <row r="231" spans="3:3" x14ac:dyDescent="0.25">
      <c r="C231" s="23"/>
    </row>
    <row r="232" spans="3:3" x14ac:dyDescent="0.25">
      <c r="C232" s="23"/>
    </row>
    <row r="233" spans="3:3" x14ac:dyDescent="0.25">
      <c r="C233" s="23"/>
    </row>
    <row r="234" spans="3:3" x14ac:dyDescent="0.25">
      <c r="C234" s="23"/>
    </row>
    <row r="235" spans="3:3" x14ac:dyDescent="0.25">
      <c r="C235" s="23"/>
    </row>
    <row r="236" spans="3:3" x14ac:dyDescent="0.25">
      <c r="C236" s="23"/>
    </row>
    <row r="237" spans="3:3" x14ac:dyDescent="0.25">
      <c r="C237" s="23"/>
    </row>
    <row r="238" spans="3:3" x14ac:dyDescent="0.25">
      <c r="C238" s="23"/>
    </row>
    <row r="239" spans="3:3" x14ac:dyDescent="0.25">
      <c r="C239" s="23"/>
    </row>
    <row r="240" spans="3:3" x14ac:dyDescent="0.25">
      <c r="C240" s="23"/>
    </row>
    <row r="241" spans="3:3" x14ac:dyDescent="0.25">
      <c r="C241" s="23"/>
    </row>
    <row r="242" spans="3:3" x14ac:dyDescent="0.25">
      <c r="C242" s="23"/>
    </row>
    <row r="243" spans="3:3" x14ac:dyDescent="0.25">
      <c r="C243" s="23"/>
    </row>
    <row r="244" spans="3:3" x14ac:dyDescent="0.25">
      <c r="C244" s="23"/>
    </row>
    <row r="245" spans="3:3" x14ac:dyDescent="0.25">
      <c r="C245" s="23"/>
    </row>
    <row r="246" spans="3:3" x14ac:dyDescent="0.25">
      <c r="C246" s="23"/>
    </row>
    <row r="247" spans="3:3" x14ac:dyDescent="0.25">
      <c r="C247" s="23"/>
    </row>
    <row r="248" spans="3:3" x14ac:dyDescent="0.25">
      <c r="C248" s="23"/>
    </row>
    <row r="249" spans="3:3" x14ac:dyDescent="0.25">
      <c r="C249" s="23"/>
    </row>
    <row r="250" spans="3:3" x14ac:dyDescent="0.25">
      <c r="C250" s="23"/>
    </row>
    <row r="251" spans="3:3" x14ac:dyDescent="0.25">
      <c r="C251" s="23"/>
    </row>
    <row r="252" spans="3:3" x14ac:dyDescent="0.25">
      <c r="C252" s="23"/>
    </row>
    <row r="253" spans="3:3" x14ac:dyDescent="0.25">
      <c r="C253" s="23"/>
    </row>
    <row r="254" spans="3:3" x14ac:dyDescent="0.25">
      <c r="C254" s="23"/>
    </row>
    <row r="255" spans="3:3" x14ac:dyDescent="0.25">
      <c r="C255" s="23"/>
    </row>
    <row r="256" spans="3:3" x14ac:dyDescent="0.25">
      <c r="C256" s="23"/>
    </row>
    <row r="257" spans="3:3" x14ac:dyDescent="0.25">
      <c r="C257" s="23"/>
    </row>
    <row r="258" spans="3:3" x14ac:dyDescent="0.25">
      <c r="C258" s="23"/>
    </row>
    <row r="259" spans="3:3" x14ac:dyDescent="0.25">
      <c r="C259" s="23"/>
    </row>
    <row r="260" spans="3:3" x14ac:dyDescent="0.25">
      <c r="C260" s="23"/>
    </row>
    <row r="261" spans="3:3" x14ac:dyDescent="0.25">
      <c r="C261" s="23"/>
    </row>
    <row r="262" spans="3:3" x14ac:dyDescent="0.25">
      <c r="C262" s="23"/>
    </row>
    <row r="263" spans="3:3" x14ac:dyDescent="0.25">
      <c r="C263" s="23"/>
    </row>
    <row r="264" spans="3:3" x14ac:dyDescent="0.25">
      <c r="C264" s="23"/>
    </row>
    <row r="265" spans="3:3" x14ac:dyDescent="0.25">
      <c r="C265" s="23"/>
    </row>
    <row r="266" spans="3:3" x14ac:dyDescent="0.25">
      <c r="C266" s="23"/>
    </row>
    <row r="267" spans="3:3" x14ac:dyDescent="0.25">
      <c r="C267" s="23"/>
    </row>
    <row r="268" spans="3:3" x14ac:dyDescent="0.25">
      <c r="C268" s="23"/>
    </row>
    <row r="269" spans="3:3" x14ac:dyDescent="0.25">
      <c r="C269" s="23"/>
    </row>
    <row r="270" spans="3:3" x14ac:dyDescent="0.25">
      <c r="C270" s="23"/>
    </row>
    <row r="271" spans="3:3" x14ac:dyDescent="0.25">
      <c r="C271" s="23"/>
    </row>
    <row r="272" spans="3:3" x14ac:dyDescent="0.25">
      <c r="C272" s="23"/>
    </row>
    <row r="273" spans="3:3" x14ac:dyDescent="0.25">
      <c r="C273" s="23"/>
    </row>
    <row r="274" spans="3:3" x14ac:dyDescent="0.25">
      <c r="C274" s="23"/>
    </row>
    <row r="275" spans="3:3" x14ac:dyDescent="0.25">
      <c r="C275" s="23"/>
    </row>
    <row r="276" spans="3:3" x14ac:dyDescent="0.25">
      <c r="C276" s="23"/>
    </row>
    <row r="277" spans="3:3" x14ac:dyDescent="0.25">
      <c r="C277" s="23"/>
    </row>
    <row r="278" spans="3:3" x14ac:dyDescent="0.25">
      <c r="C278" s="23"/>
    </row>
    <row r="279" spans="3:3" x14ac:dyDescent="0.25">
      <c r="C279" s="23"/>
    </row>
    <row r="280" spans="3:3" x14ac:dyDescent="0.25">
      <c r="C280" s="23"/>
    </row>
    <row r="281" spans="3:3" x14ac:dyDescent="0.25">
      <c r="C281" s="23"/>
    </row>
    <row r="282" spans="3:3" x14ac:dyDescent="0.25">
      <c r="C282" s="23"/>
    </row>
    <row r="283" spans="3:3" x14ac:dyDescent="0.25">
      <c r="C283" s="23"/>
    </row>
    <row r="284" spans="3:3" x14ac:dyDescent="0.25">
      <c r="C284" s="23"/>
    </row>
    <row r="285" spans="3:3" x14ac:dyDescent="0.25">
      <c r="C285" s="23"/>
    </row>
    <row r="286" spans="3:3" x14ac:dyDescent="0.25">
      <c r="C286" s="23"/>
    </row>
    <row r="287" spans="3:3" x14ac:dyDescent="0.25">
      <c r="C287" s="23"/>
    </row>
    <row r="288" spans="3:3" x14ac:dyDescent="0.25">
      <c r="C288" s="23"/>
    </row>
    <row r="289" spans="3:3" x14ac:dyDescent="0.25">
      <c r="C289" s="23"/>
    </row>
    <row r="290" spans="3:3" x14ac:dyDescent="0.25">
      <c r="C290" s="23"/>
    </row>
    <row r="291" spans="3:3" x14ac:dyDescent="0.25">
      <c r="C291" s="23"/>
    </row>
    <row r="292" spans="3:3" x14ac:dyDescent="0.25">
      <c r="C292" s="23"/>
    </row>
    <row r="293" spans="3:3" x14ac:dyDescent="0.25">
      <c r="C293" s="23"/>
    </row>
    <row r="294" spans="3:3" x14ac:dyDescent="0.25">
      <c r="C294" s="23"/>
    </row>
    <row r="295" spans="3:3" x14ac:dyDescent="0.25">
      <c r="C295" s="23"/>
    </row>
    <row r="296" spans="3:3" x14ac:dyDescent="0.25">
      <c r="C296" s="23"/>
    </row>
    <row r="297" spans="3:3" x14ac:dyDescent="0.25">
      <c r="C297" s="23"/>
    </row>
    <row r="298" spans="3:3" x14ac:dyDescent="0.25">
      <c r="C298" s="23"/>
    </row>
    <row r="299" spans="3:3" x14ac:dyDescent="0.25">
      <c r="C299" s="23"/>
    </row>
    <row r="300" spans="3:3" x14ac:dyDescent="0.25">
      <c r="C300" s="23"/>
    </row>
    <row r="301" spans="3:3" x14ac:dyDescent="0.25">
      <c r="C301" s="23"/>
    </row>
    <row r="302" spans="3:3" x14ac:dyDescent="0.25">
      <c r="C302" s="23"/>
    </row>
    <row r="303" spans="3:3" x14ac:dyDescent="0.25">
      <c r="C303" s="23"/>
    </row>
    <row r="304" spans="3:3" x14ac:dyDescent="0.25">
      <c r="C304" s="23"/>
    </row>
    <row r="305" spans="3:3" x14ac:dyDescent="0.25">
      <c r="C305" s="23"/>
    </row>
    <row r="306" spans="3:3" x14ac:dyDescent="0.25">
      <c r="C306" s="23"/>
    </row>
    <row r="307" spans="3:3" x14ac:dyDescent="0.25">
      <c r="C307" s="23"/>
    </row>
    <row r="308" spans="3:3" x14ac:dyDescent="0.25">
      <c r="C308" s="23"/>
    </row>
    <row r="309" spans="3:3" x14ac:dyDescent="0.25">
      <c r="C309" s="23"/>
    </row>
    <row r="310" spans="3:3" x14ac:dyDescent="0.25">
      <c r="C310" s="23"/>
    </row>
    <row r="311" spans="3:3" x14ac:dyDescent="0.25">
      <c r="C311" s="23"/>
    </row>
    <row r="312" spans="3:3" x14ac:dyDescent="0.25">
      <c r="C312" s="23"/>
    </row>
    <row r="313" spans="3:3" x14ac:dyDescent="0.25">
      <c r="C313" s="23"/>
    </row>
    <row r="314" spans="3:3" x14ac:dyDescent="0.25">
      <c r="C314" s="23"/>
    </row>
    <row r="315" spans="3:3" x14ac:dyDescent="0.25">
      <c r="C315" s="23"/>
    </row>
    <row r="316" spans="3:3" x14ac:dyDescent="0.25">
      <c r="C316" s="23"/>
    </row>
    <row r="317" spans="3:3" x14ac:dyDescent="0.25">
      <c r="C317" s="23"/>
    </row>
    <row r="318" spans="3:3" x14ac:dyDescent="0.25">
      <c r="C318" s="23"/>
    </row>
    <row r="319" spans="3:3" x14ac:dyDescent="0.25">
      <c r="C319" s="23"/>
    </row>
    <row r="320" spans="3:3" x14ac:dyDescent="0.25">
      <c r="C320" s="23"/>
    </row>
    <row r="321" spans="3:3" x14ac:dyDescent="0.25">
      <c r="C321" s="23"/>
    </row>
    <row r="322" spans="3:3" x14ac:dyDescent="0.25">
      <c r="C322" s="23"/>
    </row>
    <row r="323" spans="3:3" x14ac:dyDescent="0.25">
      <c r="C323" s="23"/>
    </row>
    <row r="324" spans="3:3" x14ac:dyDescent="0.25">
      <c r="C324" s="23"/>
    </row>
    <row r="325" spans="3:3" x14ac:dyDescent="0.25">
      <c r="C325" s="23"/>
    </row>
    <row r="326" spans="3:3" x14ac:dyDescent="0.25">
      <c r="C326" s="23"/>
    </row>
    <row r="327" spans="3:3" x14ac:dyDescent="0.25">
      <c r="C327" s="23"/>
    </row>
    <row r="328" spans="3:3" x14ac:dyDescent="0.25">
      <c r="C328" s="23"/>
    </row>
    <row r="329" spans="3:3" x14ac:dyDescent="0.25">
      <c r="C329" s="23"/>
    </row>
    <row r="330" spans="3:3" x14ac:dyDescent="0.25">
      <c r="C330" s="23"/>
    </row>
    <row r="331" spans="3:3" x14ac:dyDescent="0.25">
      <c r="C331" s="23"/>
    </row>
    <row r="332" spans="3:3" x14ac:dyDescent="0.25">
      <c r="C332" s="23"/>
    </row>
    <row r="333" spans="3:3" x14ac:dyDescent="0.25">
      <c r="C333" s="23"/>
    </row>
    <row r="334" spans="3:3" x14ac:dyDescent="0.25">
      <c r="C334" s="23"/>
    </row>
    <row r="335" spans="3:3" x14ac:dyDescent="0.25">
      <c r="C335" s="23"/>
    </row>
    <row r="336" spans="3:3" x14ac:dyDescent="0.25">
      <c r="C336" s="23"/>
    </row>
    <row r="337" spans="3:3" x14ac:dyDescent="0.25">
      <c r="C337" s="23"/>
    </row>
    <row r="338" spans="3:3" x14ac:dyDescent="0.25">
      <c r="C338" s="23"/>
    </row>
    <row r="339" spans="3:3" x14ac:dyDescent="0.25">
      <c r="C339" s="23"/>
    </row>
    <row r="340" spans="3:3" x14ac:dyDescent="0.25">
      <c r="C340" s="23"/>
    </row>
    <row r="341" spans="3:3" x14ac:dyDescent="0.25">
      <c r="C341" s="23"/>
    </row>
    <row r="342" spans="3:3" x14ac:dyDescent="0.25">
      <c r="C342" s="23"/>
    </row>
    <row r="343" spans="3:3" x14ac:dyDescent="0.25">
      <c r="C343" s="23"/>
    </row>
    <row r="344" spans="3:3" x14ac:dyDescent="0.25">
      <c r="C344" s="23"/>
    </row>
    <row r="345" spans="3:3" x14ac:dyDescent="0.25">
      <c r="C345" s="23"/>
    </row>
    <row r="346" spans="3:3" x14ac:dyDescent="0.25">
      <c r="C346" s="23"/>
    </row>
    <row r="347" spans="3:3" x14ac:dyDescent="0.25">
      <c r="C347" s="23"/>
    </row>
    <row r="348" spans="3:3" x14ac:dyDescent="0.25">
      <c r="C348" s="23"/>
    </row>
    <row r="349" spans="3:3" x14ac:dyDescent="0.25">
      <c r="C349" s="23"/>
    </row>
    <row r="350" spans="3:3" x14ac:dyDescent="0.25">
      <c r="C350" s="23"/>
    </row>
    <row r="351" spans="3:3" x14ac:dyDescent="0.25">
      <c r="C351" s="23"/>
    </row>
    <row r="352" spans="3:3" x14ac:dyDescent="0.25">
      <c r="C352" s="23"/>
    </row>
    <row r="353" spans="3:3" x14ac:dyDescent="0.25">
      <c r="C353" s="23"/>
    </row>
    <row r="354" spans="3:3" x14ac:dyDescent="0.25">
      <c r="C354" s="23"/>
    </row>
    <row r="355" spans="3:3" x14ac:dyDescent="0.25">
      <c r="C355" s="23"/>
    </row>
    <row r="356" spans="3:3" x14ac:dyDescent="0.25">
      <c r="C356" s="23"/>
    </row>
    <row r="357" spans="3:3" x14ac:dyDescent="0.25">
      <c r="C357" s="23"/>
    </row>
    <row r="358" spans="3:3" x14ac:dyDescent="0.25">
      <c r="C358" s="23"/>
    </row>
    <row r="359" spans="3:3" x14ac:dyDescent="0.25">
      <c r="C359" s="23"/>
    </row>
    <row r="360" spans="3:3" x14ac:dyDescent="0.25">
      <c r="C360" s="23"/>
    </row>
    <row r="361" spans="3:3" x14ac:dyDescent="0.25">
      <c r="C361" s="23"/>
    </row>
    <row r="362" spans="3:3" x14ac:dyDescent="0.25">
      <c r="C362" s="23"/>
    </row>
    <row r="363" spans="3:3" x14ac:dyDescent="0.25">
      <c r="C363" s="23"/>
    </row>
    <row r="364" spans="3:3" x14ac:dyDescent="0.25">
      <c r="C364" s="23"/>
    </row>
    <row r="365" spans="3:3" x14ac:dyDescent="0.25">
      <c r="C365" s="23"/>
    </row>
    <row r="366" spans="3:3" x14ac:dyDescent="0.25">
      <c r="C366" s="23"/>
    </row>
    <row r="367" spans="3:3" x14ac:dyDescent="0.25">
      <c r="C367" s="23"/>
    </row>
    <row r="368" spans="3:3" x14ac:dyDescent="0.25">
      <c r="C368" s="23"/>
    </row>
    <row r="369" spans="3:3" x14ac:dyDescent="0.25">
      <c r="C369" s="23"/>
    </row>
    <row r="370" spans="3:3" x14ac:dyDescent="0.25">
      <c r="C370" s="23"/>
    </row>
    <row r="371" spans="3:3" x14ac:dyDescent="0.25">
      <c r="C371" s="23"/>
    </row>
    <row r="372" spans="3:3" x14ac:dyDescent="0.25">
      <c r="C372" s="23"/>
    </row>
    <row r="373" spans="3:3" x14ac:dyDescent="0.25">
      <c r="C373" s="23"/>
    </row>
    <row r="374" spans="3:3" x14ac:dyDescent="0.25">
      <c r="C374" s="23"/>
    </row>
    <row r="375" spans="3:3" x14ac:dyDescent="0.25">
      <c r="C375" s="23"/>
    </row>
    <row r="376" spans="3:3" x14ac:dyDescent="0.25">
      <c r="C376" s="23"/>
    </row>
    <row r="377" spans="3:3" x14ac:dyDescent="0.25">
      <c r="C377" s="23"/>
    </row>
    <row r="378" spans="3:3" x14ac:dyDescent="0.25">
      <c r="C378" s="23"/>
    </row>
    <row r="379" spans="3:3" x14ac:dyDescent="0.25">
      <c r="C379" s="23"/>
    </row>
    <row r="380" spans="3:3" x14ac:dyDescent="0.25">
      <c r="C380" s="23"/>
    </row>
    <row r="381" spans="3:3" x14ac:dyDescent="0.25">
      <c r="C381" s="23"/>
    </row>
    <row r="382" spans="3:3" x14ac:dyDescent="0.25">
      <c r="C382" s="23"/>
    </row>
    <row r="383" spans="3:3" x14ac:dyDescent="0.25">
      <c r="C383" s="23"/>
    </row>
    <row r="384" spans="3:3" x14ac:dyDescent="0.25">
      <c r="C384" s="23"/>
    </row>
    <row r="385" spans="3:3" x14ac:dyDescent="0.25">
      <c r="C385" s="23"/>
    </row>
    <row r="386" spans="3:3" x14ac:dyDescent="0.25">
      <c r="C386" s="23"/>
    </row>
    <row r="387" spans="3:3" x14ac:dyDescent="0.25">
      <c r="C387" s="23"/>
    </row>
    <row r="388" spans="3:3" x14ac:dyDescent="0.25">
      <c r="C388" s="23"/>
    </row>
    <row r="389" spans="3:3" x14ac:dyDescent="0.25">
      <c r="C389" s="23"/>
    </row>
    <row r="390" spans="3:3" x14ac:dyDescent="0.25">
      <c r="C390" s="23"/>
    </row>
    <row r="391" spans="3:3" x14ac:dyDescent="0.25">
      <c r="C391" s="23"/>
    </row>
    <row r="392" spans="3:3" x14ac:dyDescent="0.25">
      <c r="C392" s="23"/>
    </row>
    <row r="393" spans="3:3" x14ac:dyDescent="0.25">
      <c r="C393" s="23"/>
    </row>
    <row r="394" spans="3:3" x14ac:dyDescent="0.25">
      <c r="C394" s="23"/>
    </row>
    <row r="395" spans="3:3" x14ac:dyDescent="0.25">
      <c r="C395" s="23"/>
    </row>
    <row r="396" spans="3:3" x14ac:dyDescent="0.25">
      <c r="C396" s="23"/>
    </row>
    <row r="397" spans="3:3" x14ac:dyDescent="0.25">
      <c r="C397" s="23"/>
    </row>
    <row r="398" spans="3:3" x14ac:dyDescent="0.25">
      <c r="C398" s="23"/>
    </row>
    <row r="399" spans="3:3" x14ac:dyDescent="0.25">
      <c r="C399" s="23"/>
    </row>
    <row r="400" spans="3:3" x14ac:dyDescent="0.25">
      <c r="C400" s="23"/>
    </row>
    <row r="401" spans="3:3" x14ac:dyDescent="0.25">
      <c r="C401" s="23"/>
    </row>
    <row r="402" spans="3:3" x14ac:dyDescent="0.25">
      <c r="C402" s="23"/>
    </row>
    <row r="403" spans="3:3" x14ac:dyDescent="0.25">
      <c r="C403" s="23"/>
    </row>
    <row r="404" spans="3:3" x14ac:dyDescent="0.25">
      <c r="C404" s="23"/>
    </row>
    <row r="405" spans="3:3" x14ac:dyDescent="0.25">
      <c r="C405" s="23"/>
    </row>
    <row r="406" spans="3:3" x14ac:dyDescent="0.25">
      <c r="C406" s="23"/>
    </row>
    <row r="407" spans="3:3" x14ac:dyDescent="0.25">
      <c r="C407" s="23"/>
    </row>
    <row r="408" spans="3:3" x14ac:dyDescent="0.25">
      <c r="C408" s="23"/>
    </row>
    <row r="409" spans="3:3" x14ac:dyDescent="0.25">
      <c r="C409" s="23"/>
    </row>
    <row r="410" spans="3:3" x14ac:dyDescent="0.25">
      <c r="C410" s="23"/>
    </row>
    <row r="411" spans="3:3" x14ac:dyDescent="0.25">
      <c r="C411" s="23"/>
    </row>
    <row r="412" spans="3:3" x14ac:dyDescent="0.25">
      <c r="C412" s="23"/>
    </row>
    <row r="413" spans="3:3" x14ac:dyDescent="0.25">
      <c r="C413" s="23"/>
    </row>
    <row r="414" spans="3:3" x14ac:dyDescent="0.25">
      <c r="C414" s="23"/>
    </row>
    <row r="415" spans="3:3" x14ac:dyDescent="0.25">
      <c r="C415" s="23"/>
    </row>
    <row r="416" spans="3:3" x14ac:dyDescent="0.25">
      <c r="C416" s="23"/>
    </row>
    <row r="417" spans="3:3" x14ac:dyDescent="0.25">
      <c r="C417" s="23"/>
    </row>
    <row r="418" spans="3:3" x14ac:dyDescent="0.25">
      <c r="C418" s="23"/>
    </row>
    <row r="419" spans="3:3" x14ac:dyDescent="0.25">
      <c r="C419" s="23"/>
    </row>
    <row r="420" spans="3:3" x14ac:dyDescent="0.25">
      <c r="C420" s="23"/>
    </row>
    <row r="421" spans="3:3" x14ac:dyDescent="0.25">
      <c r="C421" s="23"/>
    </row>
    <row r="422" spans="3:3" x14ac:dyDescent="0.25">
      <c r="C422" s="23"/>
    </row>
    <row r="423" spans="3:3" x14ac:dyDescent="0.25">
      <c r="C423" s="23"/>
    </row>
    <row r="424" spans="3:3" x14ac:dyDescent="0.25">
      <c r="C424" s="23"/>
    </row>
    <row r="425" spans="3:3" x14ac:dyDescent="0.25">
      <c r="C425" s="23"/>
    </row>
    <row r="426" spans="3:3" x14ac:dyDescent="0.25">
      <c r="C426" s="23"/>
    </row>
    <row r="427" spans="3:3" x14ac:dyDescent="0.25">
      <c r="C427" s="23"/>
    </row>
    <row r="428" spans="3:3" x14ac:dyDescent="0.25">
      <c r="C428" s="23"/>
    </row>
    <row r="429" spans="3:3" x14ac:dyDescent="0.25">
      <c r="C429" s="23"/>
    </row>
    <row r="430" spans="3:3" x14ac:dyDescent="0.25">
      <c r="C430" s="23"/>
    </row>
    <row r="431" spans="3:3" x14ac:dyDescent="0.25">
      <c r="C431" s="23"/>
    </row>
    <row r="432" spans="3:3" x14ac:dyDescent="0.25">
      <c r="C432" s="23"/>
    </row>
    <row r="433" spans="3:3" x14ac:dyDescent="0.25">
      <c r="C433" s="23"/>
    </row>
    <row r="434" spans="3:3" x14ac:dyDescent="0.25">
      <c r="C434" s="23"/>
    </row>
    <row r="435" spans="3:3" x14ac:dyDescent="0.25">
      <c r="C435" s="23"/>
    </row>
    <row r="436" spans="3:3" x14ac:dyDescent="0.25">
      <c r="C436" s="23"/>
    </row>
    <row r="437" spans="3:3" x14ac:dyDescent="0.25">
      <c r="C437" s="23"/>
    </row>
    <row r="438" spans="3:3" x14ac:dyDescent="0.25">
      <c r="C438" s="23"/>
    </row>
    <row r="439" spans="3:3" x14ac:dyDescent="0.25">
      <c r="C439" s="23"/>
    </row>
    <row r="440" spans="3:3" x14ac:dyDescent="0.25">
      <c r="C440" s="23"/>
    </row>
    <row r="441" spans="3:3" x14ac:dyDescent="0.25">
      <c r="C441" s="23"/>
    </row>
    <row r="442" spans="3:3" x14ac:dyDescent="0.25">
      <c r="C442" s="23"/>
    </row>
    <row r="443" spans="3:3" x14ac:dyDescent="0.25">
      <c r="C443" s="23"/>
    </row>
    <row r="444" spans="3:3" x14ac:dyDescent="0.25">
      <c r="C444" s="23"/>
    </row>
    <row r="445" spans="3:3" x14ac:dyDescent="0.25">
      <c r="C445" s="23"/>
    </row>
    <row r="446" spans="3:3" x14ac:dyDescent="0.25">
      <c r="C446" s="23"/>
    </row>
    <row r="447" spans="3:3" x14ac:dyDescent="0.25">
      <c r="C447" s="23"/>
    </row>
    <row r="448" spans="3:3" x14ac:dyDescent="0.25">
      <c r="C448" s="23"/>
    </row>
    <row r="449" spans="3:3" x14ac:dyDescent="0.25">
      <c r="C449" s="23"/>
    </row>
    <row r="450" spans="3:3" x14ac:dyDescent="0.25">
      <c r="C450" s="23"/>
    </row>
    <row r="451" spans="3:3" x14ac:dyDescent="0.25">
      <c r="C451" s="23"/>
    </row>
    <row r="452" spans="3:3" x14ac:dyDescent="0.25">
      <c r="C452" s="23"/>
    </row>
    <row r="453" spans="3:3" x14ac:dyDescent="0.25">
      <c r="C453" s="23"/>
    </row>
    <row r="454" spans="3:3" x14ac:dyDescent="0.25">
      <c r="C454" s="23"/>
    </row>
    <row r="455" spans="3:3" x14ac:dyDescent="0.25">
      <c r="C455" s="23"/>
    </row>
    <row r="456" spans="3:3" x14ac:dyDescent="0.25">
      <c r="C456" s="23"/>
    </row>
    <row r="457" spans="3:3" x14ac:dyDescent="0.25">
      <c r="C457" s="23"/>
    </row>
    <row r="458" spans="3:3" x14ac:dyDescent="0.25">
      <c r="C458" s="23"/>
    </row>
    <row r="459" spans="3:3" x14ac:dyDescent="0.25">
      <c r="C459" s="23"/>
    </row>
    <row r="460" spans="3:3" x14ac:dyDescent="0.25">
      <c r="C460" s="23"/>
    </row>
    <row r="461" spans="3:3" x14ac:dyDescent="0.25">
      <c r="C461" s="23"/>
    </row>
    <row r="462" spans="3:3" x14ac:dyDescent="0.25">
      <c r="C462" s="23"/>
    </row>
    <row r="463" spans="3:3" x14ac:dyDescent="0.25">
      <c r="C463" s="23"/>
    </row>
    <row r="464" spans="3:3" x14ac:dyDescent="0.25">
      <c r="C464" s="23"/>
    </row>
    <row r="465" spans="3:3" x14ac:dyDescent="0.25">
      <c r="C465" s="23"/>
    </row>
    <row r="466" spans="3:3" x14ac:dyDescent="0.25">
      <c r="C466" s="23"/>
    </row>
    <row r="467" spans="3:3" x14ac:dyDescent="0.25">
      <c r="C467" s="23"/>
    </row>
    <row r="468" spans="3:3" x14ac:dyDescent="0.25">
      <c r="C468" s="23"/>
    </row>
    <row r="469" spans="3:3" x14ac:dyDescent="0.25">
      <c r="C469" s="23"/>
    </row>
    <row r="470" spans="3:3" x14ac:dyDescent="0.25">
      <c r="C470" s="23"/>
    </row>
    <row r="471" spans="3:3" x14ac:dyDescent="0.25">
      <c r="C471" s="23"/>
    </row>
    <row r="472" spans="3:3" x14ac:dyDescent="0.25">
      <c r="C472" s="23"/>
    </row>
    <row r="473" spans="3:3" x14ac:dyDescent="0.25">
      <c r="C473" s="23"/>
    </row>
    <row r="474" spans="3:3" x14ac:dyDescent="0.25">
      <c r="C474" s="23"/>
    </row>
    <row r="475" spans="3:3" x14ac:dyDescent="0.25">
      <c r="C475" s="23"/>
    </row>
    <row r="476" spans="3:3" x14ac:dyDescent="0.25">
      <c r="C476" s="23"/>
    </row>
    <row r="477" spans="3:3" x14ac:dyDescent="0.25">
      <c r="C477" s="23"/>
    </row>
    <row r="478" spans="3:3" x14ac:dyDescent="0.25">
      <c r="C478" s="23"/>
    </row>
    <row r="479" spans="3:3" x14ac:dyDescent="0.25">
      <c r="C479" s="23"/>
    </row>
    <row r="480" spans="3:3" x14ac:dyDescent="0.25">
      <c r="C480" s="23"/>
    </row>
    <row r="481" spans="3:3" x14ac:dyDescent="0.25">
      <c r="C481" s="23"/>
    </row>
    <row r="482" spans="3:3" x14ac:dyDescent="0.25">
      <c r="C482" s="23"/>
    </row>
    <row r="483" spans="3:3" x14ac:dyDescent="0.25">
      <c r="C483" s="23"/>
    </row>
    <row r="484" spans="3:3" x14ac:dyDescent="0.25">
      <c r="C484" s="23"/>
    </row>
    <row r="485" spans="3:3" x14ac:dyDescent="0.25">
      <c r="C485" s="23"/>
    </row>
    <row r="486" spans="3:3" x14ac:dyDescent="0.25">
      <c r="C486" s="23"/>
    </row>
    <row r="487" spans="3:3" x14ac:dyDescent="0.25">
      <c r="C487" s="23"/>
    </row>
    <row r="488" spans="3:3" x14ac:dyDescent="0.25">
      <c r="C488" s="23"/>
    </row>
    <row r="489" spans="3:3" x14ac:dyDescent="0.25">
      <c r="C489" s="23"/>
    </row>
    <row r="490" spans="3:3" x14ac:dyDescent="0.25">
      <c r="C490" s="23"/>
    </row>
    <row r="491" spans="3:3" x14ac:dyDescent="0.25">
      <c r="C491" s="23"/>
    </row>
    <row r="492" spans="3:3" x14ac:dyDescent="0.25">
      <c r="C492" s="23"/>
    </row>
    <row r="493" spans="3:3" x14ac:dyDescent="0.25">
      <c r="C493" s="23"/>
    </row>
    <row r="494" spans="3:3" x14ac:dyDescent="0.25">
      <c r="C494" s="23"/>
    </row>
    <row r="495" spans="3:3" x14ac:dyDescent="0.25">
      <c r="C495" s="23"/>
    </row>
    <row r="496" spans="3:3" x14ac:dyDescent="0.25">
      <c r="C496" s="23"/>
    </row>
    <row r="497" spans="3:3" x14ac:dyDescent="0.25">
      <c r="C497" s="23"/>
    </row>
    <row r="498" spans="3:3" x14ac:dyDescent="0.25">
      <c r="C498" s="23"/>
    </row>
    <row r="499" spans="3:3" x14ac:dyDescent="0.25">
      <c r="C499" s="23"/>
    </row>
    <row r="500" spans="3:3" x14ac:dyDescent="0.25">
      <c r="C500" s="23"/>
    </row>
    <row r="501" spans="3:3" x14ac:dyDescent="0.25">
      <c r="C501" s="23"/>
    </row>
    <row r="502" spans="3:3" x14ac:dyDescent="0.25">
      <c r="C502" s="23"/>
    </row>
    <row r="503" spans="3:3" x14ac:dyDescent="0.25">
      <c r="C503" s="23"/>
    </row>
    <row r="504" spans="3:3" x14ac:dyDescent="0.25">
      <c r="C504" s="23"/>
    </row>
    <row r="505" spans="3:3" x14ac:dyDescent="0.25">
      <c r="C505" s="23"/>
    </row>
    <row r="506" spans="3:3" x14ac:dyDescent="0.25">
      <c r="C506" s="23"/>
    </row>
    <row r="507" spans="3:3" x14ac:dyDescent="0.25">
      <c r="C507" s="23"/>
    </row>
    <row r="508" spans="3:3" x14ac:dyDescent="0.25">
      <c r="C508" s="23"/>
    </row>
    <row r="509" spans="3:3" x14ac:dyDescent="0.25">
      <c r="C509" s="23"/>
    </row>
    <row r="510" spans="3:3" x14ac:dyDescent="0.25">
      <c r="C510" s="23"/>
    </row>
    <row r="511" spans="3:3" x14ac:dyDescent="0.25">
      <c r="C511" s="23"/>
    </row>
    <row r="512" spans="3:3" x14ac:dyDescent="0.25">
      <c r="C512" s="23"/>
    </row>
    <row r="513" spans="3:3" x14ac:dyDescent="0.25">
      <c r="C513" s="23"/>
    </row>
    <row r="514" spans="3:3" x14ac:dyDescent="0.25">
      <c r="C514" s="23"/>
    </row>
    <row r="515" spans="3:3" x14ac:dyDescent="0.25">
      <c r="C515" s="23"/>
    </row>
    <row r="516" spans="3:3" x14ac:dyDescent="0.25">
      <c r="C516" s="23"/>
    </row>
    <row r="517" spans="3:3" x14ac:dyDescent="0.25">
      <c r="C517" s="23"/>
    </row>
    <row r="518" spans="3:3" x14ac:dyDescent="0.25">
      <c r="C518" s="23"/>
    </row>
    <row r="519" spans="3:3" x14ac:dyDescent="0.25">
      <c r="C519" s="23"/>
    </row>
    <row r="520" spans="3:3" x14ac:dyDescent="0.25">
      <c r="C520" s="23"/>
    </row>
    <row r="521" spans="3:3" x14ac:dyDescent="0.25">
      <c r="C521" s="23"/>
    </row>
    <row r="522" spans="3:3" x14ac:dyDescent="0.25">
      <c r="C522" s="23"/>
    </row>
    <row r="523" spans="3:3" x14ac:dyDescent="0.25">
      <c r="C523" s="23"/>
    </row>
    <row r="524" spans="3:3" x14ac:dyDescent="0.25">
      <c r="C524" s="23"/>
    </row>
    <row r="525" spans="3:3" x14ac:dyDescent="0.25">
      <c r="C525" s="23"/>
    </row>
    <row r="526" spans="3:3" x14ac:dyDescent="0.25">
      <c r="C526" s="23"/>
    </row>
    <row r="527" spans="3:3" x14ac:dyDescent="0.25">
      <c r="C527" s="23"/>
    </row>
    <row r="528" spans="3:3" x14ac:dyDescent="0.25">
      <c r="C528" s="23"/>
    </row>
    <row r="529" spans="3:3" x14ac:dyDescent="0.25">
      <c r="C529" s="23"/>
    </row>
    <row r="530" spans="3:3" x14ac:dyDescent="0.25">
      <c r="C530" s="23"/>
    </row>
    <row r="531" spans="3:3" x14ac:dyDescent="0.25">
      <c r="C531" s="23"/>
    </row>
    <row r="532" spans="3:3" x14ac:dyDescent="0.25">
      <c r="C532" s="23"/>
    </row>
    <row r="533" spans="3:3" x14ac:dyDescent="0.25">
      <c r="C533" s="23"/>
    </row>
    <row r="534" spans="3:3" x14ac:dyDescent="0.25">
      <c r="C534" s="23"/>
    </row>
    <row r="535" spans="3:3" x14ac:dyDescent="0.25">
      <c r="C535" s="23"/>
    </row>
    <row r="536" spans="3:3" x14ac:dyDescent="0.25">
      <c r="C536" s="23"/>
    </row>
    <row r="537" spans="3:3" x14ac:dyDescent="0.25">
      <c r="C537" s="23"/>
    </row>
    <row r="538" spans="3:3" x14ac:dyDescent="0.25">
      <c r="C538" s="23"/>
    </row>
    <row r="539" spans="3:3" x14ac:dyDescent="0.25">
      <c r="C539" s="23"/>
    </row>
    <row r="540" spans="3:3" x14ac:dyDescent="0.25">
      <c r="C540" s="23"/>
    </row>
    <row r="541" spans="3:3" x14ac:dyDescent="0.25">
      <c r="C541" s="23"/>
    </row>
    <row r="542" spans="3:3" x14ac:dyDescent="0.25">
      <c r="C542" s="23"/>
    </row>
    <row r="543" spans="3:3" x14ac:dyDescent="0.25">
      <c r="C543" s="23"/>
    </row>
    <row r="544" spans="3:3" x14ac:dyDescent="0.25">
      <c r="C544" s="23"/>
    </row>
    <row r="545" spans="3:3" x14ac:dyDescent="0.25">
      <c r="C545" s="23"/>
    </row>
    <row r="546" spans="3:3" x14ac:dyDescent="0.25">
      <c r="C546" s="23"/>
    </row>
    <row r="547" spans="3:3" x14ac:dyDescent="0.25">
      <c r="C547" s="23"/>
    </row>
    <row r="548" spans="3:3" x14ac:dyDescent="0.25">
      <c r="C548" s="23"/>
    </row>
    <row r="549" spans="3:3" x14ac:dyDescent="0.25">
      <c r="C549" s="23"/>
    </row>
    <row r="550" spans="3:3" x14ac:dyDescent="0.25">
      <c r="C550" s="23"/>
    </row>
    <row r="551" spans="3:3" x14ac:dyDescent="0.25">
      <c r="C551" s="23"/>
    </row>
    <row r="552" spans="3:3" x14ac:dyDescent="0.25">
      <c r="C552" s="23"/>
    </row>
    <row r="553" spans="3:3" x14ac:dyDescent="0.25">
      <c r="C553" s="23"/>
    </row>
    <row r="554" spans="3:3" x14ac:dyDescent="0.25">
      <c r="C554" s="23"/>
    </row>
    <row r="555" spans="3:3" x14ac:dyDescent="0.25">
      <c r="C555" s="23"/>
    </row>
    <row r="556" spans="3:3" x14ac:dyDescent="0.25">
      <c r="C556" s="23"/>
    </row>
    <row r="557" spans="3:3" x14ac:dyDescent="0.25">
      <c r="C557" s="23"/>
    </row>
    <row r="558" spans="3:3" x14ac:dyDescent="0.25">
      <c r="C558" s="23"/>
    </row>
    <row r="559" spans="3:3" x14ac:dyDescent="0.25">
      <c r="C559" s="23"/>
    </row>
    <row r="560" spans="3:3" x14ac:dyDescent="0.25">
      <c r="C560" s="23"/>
    </row>
    <row r="561" spans="3:3" x14ac:dyDescent="0.25">
      <c r="C561" s="23"/>
    </row>
    <row r="562" spans="3:3" x14ac:dyDescent="0.25">
      <c r="C562" s="23"/>
    </row>
    <row r="563" spans="3:3" x14ac:dyDescent="0.25">
      <c r="C563" s="23"/>
    </row>
    <row r="564" spans="3:3" x14ac:dyDescent="0.25">
      <c r="C564" s="23"/>
    </row>
    <row r="565" spans="3:3" x14ac:dyDescent="0.25">
      <c r="C565" s="23"/>
    </row>
    <row r="566" spans="3:3" x14ac:dyDescent="0.25">
      <c r="C566" s="23"/>
    </row>
    <row r="567" spans="3:3" x14ac:dyDescent="0.25">
      <c r="C567" s="23"/>
    </row>
    <row r="568" spans="3:3" x14ac:dyDescent="0.25">
      <c r="C568" s="23"/>
    </row>
    <row r="569" spans="3:3" x14ac:dyDescent="0.25">
      <c r="C569" s="23"/>
    </row>
    <row r="570" spans="3:3" x14ac:dyDescent="0.25">
      <c r="C570" s="23"/>
    </row>
    <row r="571" spans="3:3" x14ac:dyDescent="0.25">
      <c r="C571" s="23"/>
    </row>
    <row r="572" spans="3:3" x14ac:dyDescent="0.25">
      <c r="C572" s="23"/>
    </row>
    <row r="573" spans="3:3" x14ac:dyDescent="0.25">
      <c r="C573" s="23"/>
    </row>
    <row r="574" spans="3:3" x14ac:dyDescent="0.25">
      <c r="C574" s="23"/>
    </row>
    <row r="575" spans="3:3" x14ac:dyDescent="0.25">
      <c r="C575" s="23"/>
    </row>
    <row r="576" spans="3:3" x14ac:dyDescent="0.25">
      <c r="C576" s="23"/>
    </row>
    <row r="577" spans="3:3" x14ac:dyDescent="0.25">
      <c r="C577" s="23"/>
    </row>
    <row r="578" spans="3:3" x14ac:dyDescent="0.25">
      <c r="C578" s="23"/>
    </row>
    <row r="579" spans="3:3" x14ac:dyDescent="0.25">
      <c r="C579" s="23"/>
    </row>
    <row r="580" spans="3:3" x14ac:dyDescent="0.25">
      <c r="C580" s="23"/>
    </row>
    <row r="581" spans="3:3" x14ac:dyDescent="0.25">
      <c r="C581" s="23"/>
    </row>
    <row r="582" spans="3:3" x14ac:dyDescent="0.25">
      <c r="C582" s="23"/>
    </row>
    <row r="583" spans="3:3" x14ac:dyDescent="0.25">
      <c r="C583" s="23"/>
    </row>
    <row r="584" spans="3:3" x14ac:dyDescent="0.25">
      <c r="C584" s="23"/>
    </row>
    <row r="585" spans="3:3" x14ac:dyDescent="0.25">
      <c r="C585" s="23"/>
    </row>
    <row r="586" spans="3:3" x14ac:dyDescent="0.25">
      <c r="C586" s="23"/>
    </row>
    <row r="587" spans="3:3" x14ac:dyDescent="0.25">
      <c r="C587" s="23"/>
    </row>
    <row r="588" spans="3:3" x14ac:dyDescent="0.25">
      <c r="C588" s="23"/>
    </row>
    <row r="589" spans="3:3" x14ac:dyDescent="0.25">
      <c r="C589" s="23"/>
    </row>
    <row r="590" spans="3:3" x14ac:dyDescent="0.25">
      <c r="C590" s="23"/>
    </row>
    <row r="591" spans="3:3" x14ac:dyDescent="0.25">
      <c r="C591" s="23"/>
    </row>
    <row r="592" spans="3:3" x14ac:dyDescent="0.25">
      <c r="C592" s="23"/>
    </row>
    <row r="593" spans="3:3" x14ac:dyDescent="0.25">
      <c r="C593" s="23"/>
    </row>
    <row r="594" spans="3:3" x14ac:dyDescent="0.25">
      <c r="C594" s="23"/>
    </row>
    <row r="595" spans="3:3" x14ac:dyDescent="0.25">
      <c r="C595" s="23"/>
    </row>
    <row r="596" spans="3:3" x14ac:dyDescent="0.25">
      <c r="C596" s="23"/>
    </row>
    <row r="597" spans="3:3" x14ac:dyDescent="0.25">
      <c r="C597" s="23"/>
    </row>
    <row r="598" spans="3:3" x14ac:dyDescent="0.25">
      <c r="C598" s="23"/>
    </row>
    <row r="599" spans="3:3" x14ac:dyDescent="0.25">
      <c r="C599" s="23"/>
    </row>
    <row r="600" spans="3:3" x14ac:dyDescent="0.25">
      <c r="C600" s="23"/>
    </row>
    <row r="601" spans="3:3" x14ac:dyDescent="0.25">
      <c r="C601" s="23"/>
    </row>
    <row r="602" spans="3:3" x14ac:dyDescent="0.25">
      <c r="C602" s="23"/>
    </row>
    <row r="603" spans="3:3" x14ac:dyDescent="0.25">
      <c r="C603" s="23"/>
    </row>
    <row r="604" spans="3:3" x14ac:dyDescent="0.25">
      <c r="C604" s="23"/>
    </row>
    <row r="605" spans="3:3" x14ac:dyDescent="0.25">
      <c r="C605" s="23"/>
    </row>
    <row r="606" spans="3:3" x14ac:dyDescent="0.25">
      <c r="C606" s="23"/>
    </row>
    <row r="607" spans="3:3" x14ac:dyDescent="0.25">
      <c r="C607" s="23"/>
    </row>
    <row r="608" spans="3:3" x14ac:dyDescent="0.25">
      <c r="C608" s="23"/>
    </row>
    <row r="609" spans="3:3" x14ac:dyDescent="0.25">
      <c r="C609" s="23"/>
    </row>
    <row r="610" spans="3:3" x14ac:dyDescent="0.25">
      <c r="C610" s="23"/>
    </row>
    <row r="611" spans="3:3" x14ac:dyDescent="0.25">
      <c r="C611" s="23"/>
    </row>
    <row r="612" spans="3:3" x14ac:dyDescent="0.25">
      <c r="C612" s="23"/>
    </row>
    <row r="613" spans="3:3" x14ac:dyDescent="0.25">
      <c r="C613" s="23"/>
    </row>
    <row r="614" spans="3:3" x14ac:dyDescent="0.25">
      <c r="C614" s="23"/>
    </row>
    <row r="615" spans="3:3" x14ac:dyDescent="0.25">
      <c r="C615" s="23"/>
    </row>
    <row r="616" spans="3:3" x14ac:dyDescent="0.25">
      <c r="C616" s="23"/>
    </row>
    <row r="617" spans="3:3" x14ac:dyDescent="0.25">
      <c r="C617" s="23"/>
    </row>
    <row r="618" spans="3:3" x14ac:dyDescent="0.25">
      <c r="C618" s="23"/>
    </row>
    <row r="619" spans="3:3" x14ac:dyDescent="0.25">
      <c r="C619" s="23"/>
    </row>
    <row r="620" spans="3:3" x14ac:dyDescent="0.25">
      <c r="C620" s="23"/>
    </row>
    <row r="621" spans="3:3" x14ac:dyDescent="0.25">
      <c r="C621" s="23"/>
    </row>
    <row r="622" spans="3:3" x14ac:dyDescent="0.25">
      <c r="C622" s="23"/>
    </row>
    <row r="623" spans="3:3" x14ac:dyDescent="0.25">
      <c r="C623" s="23"/>
    </row>
    <row r="624" spans="3:3" x14ac:dyDescent="0.25">
      <c r="C624" s="23"/>
    </row>
    <row r="625" spans="3:3" x14ac:dyDescent="0.25">
      <c r="C625" s="23"/>
    </row>
    <row r="626" spans="3:3" x14ac:dyDescent="0.25">
      <c r="C626" s="23"/>
    </row>
    <row r="627" spans="3:3" x14ac:dyDescent="0.25">
      <c r="C627" s="23"/>
    </row>
    <row r="628" spans="3:3" x14ac:dyDescent="0.25">
      <c r="C628" s="23"/>
    </row>
    <row r="629" spans="3:3" x14ac:dyDescent="0.25">
      <c r="C629" s="23"/>
    </row>
    <row r="630" spans="3:3" x14ac:dyDescent="0.25">
      <c r="C630" s="23"/>
    </row>
    <row r="631" spans="3:3" x14ac:dyDescent="0.25">
      <c r="C631" s="23"/>
    </row>
    <row r="632" spans="3:3" x14ac:dyDescent="0.25">
      <c r="C632" s="23"/>
    </row>
    <row r="633" spans="3:3" x14ac:dyDescent="0.25">
      <c r="C633" s="23"/>
    </row>
    <row r="634" spans="3:3" x14ac:dyDescent="0.25">
      <c r="C634" s="23"/>
    </row>
    <row r="635" spans="3:3" x14ac:dyDescent="0.25">
      <c r="C635" s="23"/>
    </row>
    <row r="636" spans="3:3" x14ac:dyDescent="0.25">
      <c r="C636" s="23"/>
    </row>
    <row r="637" spans="3:3" x14ac:dyDescent="0.25">
      <c r="C637" s="23"/>
    </row>
    <row r="638" spans="3:3" x14ac:dyDescent="0.25">
      <c r="C638" s="23"/>
    </row>
    <row r="639" spans="3:3" x14ac:dyDescent="0.25">
      <c r="C639" s="23"/>
    </row>
    <row r="640" spans="3:3" x14ac:dyDescent="0.25">
      <c r="C640" s="23"/>
    </row>
    <row r="641" spans="3:3" x14ac:dyDescent="0.25">
      <c r="C641" s="23"/>
    </row>
    <row r="642" spans="3:3" x14ac:dyDescent="0.25">
      <c r="C642" s="23"/>
    </row>
    <row r="643" spans="3:3" x14ac:dyDescent="0.25">
      <c r="C643" s="23"/>
    </row>
    <row r="644" spans="3:3" x14ac:dyDescent="0.25">
      <c r="C644" s="23"/>
    </row>
    <row r="645" spans="3:3" x14ac:dyDescent="0.25">
      <c r="C645" s="23"/>
    </row>
    <row r="646" spans="3:3" x14ac:dyDescent="0.25">
      <c r="C646" s="23"/>
    </row>
    <row r="647" spans="3:3" x14ac:dyDescent="0.25">
      <c r="C647" s="23"/>
    </row>
    <row r="648" spans="3:3" x14ac:dyDescent="0.25">
      <c r="C648" s="23"/>
    </row>
    <row r="649" spans="3:3" x14ac:dyDescent="0.25">
      <c r="C649" s="23"/>
    </row>
    <row r="650" spans="3:3" x14ac:dyDescent="0.25">
      <c r="C650" s="23"/>
    </row>
    <row r="651" spans="3:3" x14ac:dyDescent="0.25">
      <c r="C651" s="23"/>
    </row>
    <row r="652" spans="3:3" x14ac:dyDescent="0.25">
      <c r="C652" s="23"/>
    </row>
    <row r="653" spans="3:3" x14ac:dyDescent="0.25">
      <c r="C653" s="23"/>
    </row>
    <row r="654" spans="3:3" x14ac:dyDescent="0.25">
      <c r="C654" s="23"/>
    </row>
    <row r="655" spans="3:3" x14ac:dyDescent="0.25">
      <c r="C655" s="23"/>
    </row>
    <row r="656" spans="3:3" x14ac:dyDescent="0.25">
      <c r="C656" s="23"/>
    </row>
    <row r="657" spans="3:3" x14ac:dyDescent="0.25">
      <c r="C657" s="23"/>
    </row>
    <row r="658" spans="3:3" x14ac:dyDescent="0.25">
      <c r="C658" s="23"/>
    </row>
    <row r="659" spans="3:3" x14ac:dyDescent="0.25">
      <c r="C659" s="23"/>
    </row>
    <row r="660" spans="3:3" x14ac:dyDescent="0.25">
      <c r="C660" s="23"/>
    </row>
    <row r="661" spans="3:3" x14ac:dyDescent="0.25">
      <c r="C661" s="23"/>
    </row>
    <row r="662" spans="3:3" x14ac:dyDescent="0.25">
      <c r="C662" s="23"/>
    </row>
    <row r="663" spans="3:3" x14ac:dyDescent="0.25">
      <c r="C663" s="23"/>
    </row>
    <row r="664" spans="3:3" x14ac:dyDescent="0.25">
      <c r="C664" s="23"/>
    </row>
    <row r="665" spans="3:3" x14ac:dyDescent="0.25">
      <c r="C665" s="23"/>
    </row>
    <row r="666" spans="3:3" x14ac:dyDescent="0.25">
      <c r="C666" s="23"/>
    </row>
    <row r="667" spans="3:3" x14ac:dyDescent="0.25">
      <c r="C667" s="23"/>
    </row>
    <row r="668" spans="3:3" x14ac:dyDescent="0.25">
      <c r="C668" s="23"/>
    </row>
    <row r="669" spans="3:3" x14ac:dyDescent="0.25">
      <c r="C669" s="23"/>
    </row>
    <row r="670" spans="3:3" x14ac:dyDescent="0.25">
      <c r="C670" s="23"/>
    </row>
    <row r="671" spans="3:3" x14ac:dyDescent="0.25">
      <c r="C671" s="23"/>
    </row>
    <row r="672" spans="3:3" x14ac:dyDescent="0.25">
      <c r="C672" s="23"/>
    </row>
    <row r="673" spans="3:3" x14ac:dyDescent="0.25">
      <c r="C673" s="23"/>
    </row>
    <row r="674" spans="3:3" x14ac:dyDescent="0.25">
      <c r="C674" s="23"/>
    </row>
    <row r="675" spans="3:3" x14ac:dyDescent="0.25">
      <c r="C675" s="23"/>
    </row>
    <row r="676" spans="3:3" x14ac:dyDescent="0.25">
      <c r="C676" s="23"/>
    </row>
    <row r="677" spans="3:3" x14ac:dyDescent="0.25">
      <c r="C677" s="23"/>
    </row>
    <row r="678" spans="3:3" x14ac:dyDescent="0.25">
      <c r="C678" s="23"/>
    </row>
    <row r="679" spans="3:3" x14ac:dyDescent="0.25">
      <c r="C679" s="23"/>
    </row>
    <row r="680" spans="3:3" x14ac:dyDescent="0.25">
      <c r="C680" s="23"/>
    </row>
    <row r="681" spans="3:3" x14ac:dyDescent="0.25">
      <c r="C681" s="23"/>
    </row>
    <row r="682" spans="3:3" x14ac:dyDescent="0.25">
      <c r="C682" s="23"/>
    </row>
    <row r="683" spans="3:3" x14ac:dyDescent="0.25">
      <c r="C683" s="23"/>
    </row>
    <row r="684" spans="3:3" x14ac:dyDescent="0.25">
      <c r="C684" s="23"/>
    </row>
    <row r="685" spans="3:3" x14ac:dyDescent="0.25">
      <c r="C685" s="23"/>
    </row>
    <row r="686" spans="3:3" x14ac:dyDescent="0.25">
      <c r="C686" s="23"/>
    </row>
    <row r="687" spans="3:3" x14ac:dyDescent="0.25">
      <c r="C687" s="23"/>
    </row>
    <row r="688" spans="3:3" x14ac:dyDescent="0.25">
      <c r="C688" s="23"/>
    </row>
    <row r="689" spans="3:3" x14ac:dyDescent="0.25">
      <c r="C689" s="23"/>
    </row>
    <row r="690" spans="3:3" x14ac:dyDescent="0.25">
      <c r="C690" s="23"/>
    </row>
    <row r="691" spans="3:3" x14ac:dyDescent="0.25">
      <c r="C691" s="23"/>
    </row>
    <row r="692" spans="3:3" x14ac:dyDescent="0.25">
      <c r="C692" s="23"/>
    </row>
    <row r="693" spans="3:3" x14ac:dyDescent="0.25">
      <c r="C693" s="23"/>
    </row>
    <row r="694" spans="3:3" x14ac:dyDescent="0.25">
      <c r="C694" s="23"/>
    </row>
    <row r="695" spans="3:3" x14ac:dyDescent="0.25">
      <c r="C695" s="23"/>
    </row>
    <row r="696" spans="3:3" x14ac:dyDescent="0.25">
      <c r="C696" s="23"/>
    </row>
    <row r="697" spans="3:3" x14ac:dyDescent="0.25">
      <c r="C697" s="23"/>
    </row>
    <row r="698" spans="3:3" x14ac:dyDescent="0.25">
      <c r="C698" s="23"/>
    </row>
    <row r="699" spans="3:3" x14ac:dyDescent="0.25">
      <c r="C699" s="23"/>
    </row>
    <row r="700" spans="3:3" x14ac:dyDescent="0.25">
      <c r="C700" s="23"/>
    </row>
    <row r="701" spans="3:3" x14ac:dyDescent="0.25">
      <c r="C701" s="23"/>
    </row>
    <row r="702" spans="3:3" x14ac:dyDescent="0.25">
      <c r="C702" s="23"/>
    </row>
    <row r="703" spans="3:3" x14ac:dyDescent="0.25">
      <c r="C703" s="23"/>
    </row>
    <row r="704" spans="3:3" x14ac:dyDescent="0.25">
      <c r="C704" s="23"/>
    </row>
    <row r="705" spans="3:3" x14ac:dyDescent="0.25">
      <c r="C705" s="23"/>
    </row>
    <row r="706" spans="3:3" x14ac:dyDescent="0.25">
      <c r="C706" s="23"/>
    </row>
    <row r="707" spans="3:3" x14ac:dyDescent="0.25">
      <c r="C707" s="23"/>
    </row>
    <row r="708" spans="3:3" x14ac:dyDescent="0.25">
      <c r="C708" s="23"/>
    </row>
    <row r="709" spans="3:3" x14ac:dyDescent="0.25">
      <c r="C709" s="23"/>
    </row>
    <row r="710" spans="3:3" x14ac:dyDescent="0.25">
      <c r="C710" s="23"/>
    </row>
    <row r="711" spans="3:3" x14ac:dyDescent="0.25">
      <c r="C711" s="23"/>
    </row>
    <row r="712" spans="3:3" x14ac:dyDescent="0.25">
      <c r="C712" s="23"/>
    </row>
    <row r="713" spans="3:3" x14ac:dyDescent="0.25">
      <c r="C713" s="23"/>
    </row>
    <row r="714" spans="3:3" x14ac:dyDescent="0.25">
      <c r="C714" s="23"/>
    </row>
    <row r="715" spans="3:3" x14ac:dyDescent="0.25">
      <c r="C715" s="23"/>
    </row>
    <row r="716" spans="3:3" x14ac:dyDescent="0.25">
      <c r="C716" s="23"/>
    </row>
    <row r="717" spans="3:3" x14ac:dyDescent="0.25">
      <c r="C717" s="23"/>
    </row>
    <row r="718" spans="3:3" x14ac:dyDescent="0.25">
      <c r="C718" s="23"/>
    </row>
    <row r="719" spans="3:3" x14ac:dyDescent="0.25">
      <c r="C719" s="23"/>
    </row>
    <row r="720" spans="3:3" x14ac:dyDescent="0.25">
      <c r="C720" s="23"/>
    </row>
    <row r="721" spans="3:3" x14ac:dyDescent="0.25">
      <c r="C721" s="23"/>
    </row>
    <row r="722" spans="3:3" x14ac:dyDescent="0.25">
      <c r="C722" s="23"/>
    </row>
    <row r="723" spans="3:3" x14ac:dyDescent="0.25">
      <c r="C723" s="23"/>
    </row>
    <row r="724" spans="3:3" x14ac:dyDescent="0.25">
      <c r="C724" s="23"/>
    </row>
    <row r="725" spans="3:3" x14ac:dyDescent="0.25">
      <c r="C725" s="23"/>
    </row>
    <row r="726" spans="3:3" x14ac:dyDescent="0.25">
      <c r="C726" s="23"/>
    </row>
    <row r="727" spans="3:3" x14ac:dyDescent="0.25">
      <c r="C727" s="23"/>
    </row>
    <row r="728" spans="3:3" x14ac:dyDescent="0.25">
      <c r="C728" s="23"/>
    </row>
    <row r="729" spans="3:3" x14ac:dyDescent="0.25">
      <c r="C729" s="23"/>
    </row>
    <row r="730" spans="3:3" x14ac:dyDescent="0.25">
      <c r="C730" s="23"/>
    </row>
    <row r="731" spans="3:3" x14ac:dyDescent="0.25">
      <c r="C731" s="23"/>
    </row>
    <row r="732" spans="3:3" x14ac:dyDescent="0.25">
      <c r="C732" s="23"/>
    </row>
    <row r="733" spans="3:3" x14ac:dyDescent="0.25">
      <c r="C733" s="23"/>
    </row>
    <row r="734" spans="3:3" x14ac:dyDescent="0.25">
      <c r="C734" s="23"/>
    </row>
    <row r="735" spans="3:3" x14ac:dyDescent="0.25">
      <c r="C735" s="23"/>
    </row>
    <row r="736" spans="3:3" x14ac:dyDescent="0.25">
      <c r="C736" s="23"/>
    </row>
    <row r="737" spans="3:3" x14ac:dyDescent="0.25">
      <c r="C737" s="23"/>
    </row>
    <row r="738" spans="3:3" x14ac:dyDescent="0.25">
      <c r="C738" s="23"/>
    </row>
    <row r="739" spans="3:3" x14ac:dyDescent="0.25">
      <c r="C739" s="23"/>
    </row>
    <row r="740" spans="3:3" x14ac:dyDescent="0.25">
      <c r="C740" s="23"/>
    </row>
    <row r="741" spans="3:3" x14ac:dyDescent="0.25">
      <c r="C741" s="23"/>
    </row>
    <row r="742" spans="3:3" x14ac:dyDescent="0.25">
      <c r="C742" s="23"/>
    </row>
    <row r="743" spans="3:3" x14ac:dyDescent="0.25">
      <c r="C743" s="23"/>
    </row>
    <row r="744" spans="3:3" x14ac:dyDescent="0.25">
      <c r="C744" s="23"/>
    </row>
    <row r="745" spans="3:3" x14ac:dyDescent="0.25">
      <c r="C745" s="23"/>
    </row>
    <row r="746" spans="3:3" x14ac:dyDescent="0.25">
      <c r="C746" s="23"/>
    </row>
    <row r="747" spans="3:3" x14ac:dyDescent="0.25">
      <c r="C747" s="23"/>
    </row>
    <row r="748" spans="3:3" x14ac:dyDescent="0.25">
      <c r="C748" s="23"/>
    </row>
    <row r="749" spans="3:3" x14ac:dyDescent="0.25">
      <c r="C749" s="23"/>
    </row>
    <row r="750" spans="3:3" x14ac:dyDescent="0.25">
      <c r="C750" s="23"/>
    </row>
    <row r="751" spans="3:3" x14ac:dyDescent="0.25">
      <c r="C751" s="23"/>
    </row>
    <row r="752" spans="3:3" x14ac:dyDescent="0.25">
      <c r="C752" s="23"/>
    </row>
    <row r="753" spans="3:3" x14ac:dyDescent="0.25">
      <c r="C753" s="23"/>
    </row>
    <row r="754" spans="3:3" x14ac:dyDescent="0.25">
      <c r="C754" s="23"/>
    </row>
    <row r="755" spans="3:3" x14ac:dyDescent="0.25">
      <c r="C755" s="23"/>
    </row>
    <row r="756" spans="3:3" x14ac:dyDescent="0.25">
      <c r="C756" s="23"/>
    </row>
    <row r="757" spans="3:3" x14ac:dyDescent="0.25">
      <c r="C757" s="23"/>
    </row>
    <row r="758" spans="3:3" x14ac:dyDescent="0.25">
      <c r="C758" s="23"/>
    </row>
    <row r="759" spans="3:3" x14ac:dyDescent="0.25">
      <c r="C759" s="23"/>
    </row>
    <row r="760" spans="3:3" x14ac:dyDescent="0.25">
      <c r="C760" s="23"/>
    </row>
    <row r="761" spans="3:3" x14ac:dyDescent="0.25">
      <c r="C761" s="23"/>
    </row>
    <row r="762" spans="3:3" x14ac:dyDescent="0.25">
      <c r="C762" s="23"/>
    </row>
    <row r="763" spans="3:3" x14ac:dyDescent="0.25">
      <c r="C763" s="23"/>
    </row>
    <row r="764" spans="3:3" x14ac:dyDescent="0.25">
      <c r="C764" s="23"/>
    </row>
    <row r="765" spans="3:3" x14ac:dyDescent="0.25">
      <c r="C765" s="23"/>
    </row>
    <row r="766" spans="3:3" x14ac:dyDescent="0.25">
      <c r="C766" s="23"/>
    </row>
    <row r="767" spans="3:3" x14ac:dyDescent="0.25">
      <c r="C767" s="23"/>
    </row>
    <row r="768" spans="3:3" x14ac:dyDescent="0.25">
      <c r="C768" s="23"/>
    </row>
    <row r="769" spans="3:3" x14ac:dyDescent="0.25">
      <c r="C769" s="23"/>
    </row>
    <row r="770" spans="3:3" x14ac:dyDescent="0.25">
      <c r="C770" s="23"/>
    </row>
    <row r="771" spans="3:3" x14ac:dyDescent="0.25">
      <c r="C771" s="23"/>
    </row>
    <row r="772" spans="3:3" x14ac:dyDescent="0.25">
      <c r="C772" s="23"/>
    </row>
    <row r="773" spans="3:3" x14ac:dyDescent="0.25">
      <c r="C773" s="23"/>
    </row>
    <row r="774" spans="3:3" x14ac:dyDescent="0.25">
      <c r="C774" s="23"/>
    </row>
    <row r="775" spans="3:3" x14ac:dyDescent="0.25">
      <c r="C775" s="23"/>
    </row>
    <row r="776" spans="3:3" x14ac:dyDescent="0.25">
      <c r="C776" s="23"/>
    </row>
    <row r="777" spans="3:3" x14ac:dyDescent="0.25">
      <c r="C777" s="23"/>
    </row>
    <row r="778" spans="3:3" x14ac:dyDescent="0.25">
      <c r="C778" s="23"/>
    </row>
    <row r="779" spans="3:3" x14ac:dyDescent="0.25">
      <c r="C779" s="23"/>
    </row>
    <row r="780" spans="3:3" x14ac:dyDescent="0.25">
      <c r="C780" s="23"/>
    </row>
    <row r="781" spans="3:3" x14ac:dyDescent="0.25">
      <c r="C781" s="23"/>
    </row>
    <row r="782" spans="3:3" x14ac:dyDescent="0.25">
      <c r="C782" s="23"/>
    </row>
    <row r="783" spans="3:3" x14ac:dyDescent="0.25">
      <c r="C783" s="23"/>
    </row>
    <row r="784" spans="3:3" x14ac:dyDescent="0.25">
      <c r="C784" s="23"/>
    </row>
    <row r="785" spans="3:3" x14ac:dyDescent="0.25">
      <c r="C785" s="23"/>
    </row>
    <row r="786" spans="3:3" x14ac:dyDescent="0.25">
      <c r="C786" s="23"/>
    </row>
    <row r="787" spans="3:3" x14ac:dyDescent="0.25">
      <c r="C787" s="23"/>
    </row>
    <row r="788" spans="3:3" x14ac:dyDescent="0.25">
      <c r="C788" s="23"/>
    </row>
    <row r="789" spans="3:3" x14ac:dyDescent="0.25">
      <c r="C789" s="23"/>
    </row>
    <row r="790" spans="3:3" x14ac:dyDescent="0.25">
      <c r="C790" s="23"/>
    </row>
    <row r="791" spans="3:3" x14ac:dyDescent="0.25">
      <c r="C791" s="23"/>
    </row>
    <row r="792" spans="3:3" x14ac:dyDescent="0.25">
      <c r="C792" s="23"/>
    </row>
    <row r="793" spans="3:3" x14ac:dyDescent="0.25">
      <c r="C793" s="23"/>
    </row>
    <row r="794" spans="3:3" x14ac:dyDescent="0.25">
      <c r="C794" s="23"/>
    </row>
    <row r="795" spans="3:3" x14ac:dyDescent="0.25">
      <c r="C795" s="23"/>
    </row>
    <row r="796" spans="3:3" x14ac:dyDescent="0.25">
      <c r="C796" s="23"/>
    </row>
    <row r="797" spans="3:3" x14ac:dyDescent="0.25">
      <c r="C797" s="23"/>
    </row>
    <row r="798" spans="3:3" x14ac:dyDescent="0.25">
      <c r="C798" s="23"/>
    </row>
    <row r="799" spans="3:3" x14ac:dyDescent="0.25">
      <c r="C799" s="23"/>
    </row>
    <row r="800" spans="3:3" x14ac:dyDescent="0.25">
      <c r="C800" s="23"/>
    </row>
    <row r="801" spans="3:3" x14ac:dyDescent="0.25">
      <c r="C801" s="23"/>
    </row>
    <row r="802" spans="3:3" x14ac:dyDescent="0.25">
      <c r="C802" s="23"/>
    </row>
    <row r="803" spans="3:3" x14ac:dyDescent="0.25">
      <c r="C803" s="23"/>
    </row>
    <row r="804" spans="3:3" x14ac:dyDescent="0.25">
      <c r="C804" s="23"/>
    </row>
    <row r="805" spans="3:3" x14ac:dyDescent="0.25">
      <c r="C805" s="23"/>
    </row>
    <row r="806" spans="3:3" x14ac:dyDescent="0.25">
      <c r="C806" s="23"/>
    </row>
    <row r="807" spans="3:3" x14ac:dyDescent="0.25">
      <c r="C807" s="23"/>
    </row>
    <row r="808" spans="3:3" x14ac:dyDescent="0.25">
      <c r="C808" s="23"/>
    </row>
    <row r="809" spans="3:3" x14ac:dyDescent="0.25">
      <c r="C809" s="23"/>
    </row>
    <row r="810" spans="3:3" x14ac:dyDescent="0.25">
      <c r="C810" s="23"/>
    </row>
    <row r="811" spans="3:3" x14ac:dyDescent="0.25">
      <c r="C811" s="23"/>
    </row>
    <row r="812" spans="3:3" x14ac:dyDescent="0.25">
      <c r="C812" s="23"/>
    </row>
    <row r="813" spans="3:3" x14ac:dyDescent="0.25">
      <c r="C813" s="23"/>
    </row>
    <row r="814" spans="3:3" x14ac:dyDescent="0.25">
      <c r="C814" s="23"/>
    </row>
    <row r="815" spans="3:3" x14ac:dyDescent="0.25">
      <c r="C815" s="23"/>
    </row>
    <row r="816" spans="3:3" x14ac:dyDescent="0.25">
      <c r="C816" s="23"/>
    </row>
    <row r="817" spans="3:3" x14ac:dyDescent="0.25">
      <c r="C817" s="23"/>
    </row>
    <row r="818" spans="3:3" x14ac:dyDescent="0.25">
      <c r="C818" s="23"/>
    </row>
    <row r="819" spans="3:3" x14ac:dyDescent="0.25">
      <c r="C819" s="23"/>
    </row>
    <row r="820" spans="3:3" x14ac:dyDescent="0.25">
      <c r="C820" s="23"/>
    </row>
    <row r="821" spans="3:3" x14ac:dyDescent="0.25">
      <c r="C821" s="23"/>
    </row>
    <row r="822" spans="3:3" x14ac:dyDescent="0.25">
      <c r="C822" s="23"/>
    </row>
    <row r="823" spans="3:3" x14ac:dyDescent="0.25">
      <c r="C823" s="23"/>
    </row>
    <row r="824" spans="3:3" x14ac:dyDescent="0.25">
      <c r="C824" s="23"/>
    </row>
    <row r="825" spans="3:3" x14ac:dyDescent="0.25">
      <c r="C825" s="23"/>
    </row>
    <row r="826" spans="3:3" x14ac:dyDescent="0.25">
      <c r="C826" s="23"/>
    </row>
    <row r="827" spans="3:3" x14ac:dyDescent="0.25">
      <c r="C827" s="23"/>
    </row>
    <row r="828" spans="3:3" x14ac:dyDescent="0.25">
      <c r="C828" s="23"/>
    </row>
    <row r="829" spans="3:3" x14ac:dyDescent="0.25">
      <c r="C829" s="23"/>
    </row>
    <row r="830" spans="3:3" x14ac:dyDescent="0.25">
      <c r="C830" s="23"/>
    </row>
    <row r="831" spans="3:3" x14ac:dyDescent="0.25">
      <c r="C831" s="23"/>
    </row>
    <row r="832" spans="3:3" x14ac:dyDescent="0.25">
      <c r="C832" s="23"/>
    </row>
    <row r="833" spans="3:3" x14ac:dyDescent="0.25">
      <c r="C833" s="23"/>
    </row>
    <row r="834" spans="3:3" x14ac:dyDescent="0.25">
      <c r="C834" s="23"/>
    </row>
    <row r="835" spans="3:3" x14ac:dyDescent="0.25">
      <c r="C835" s="23"/>
    </row>
    <row r="836" spans="3:3" x14ac:dyDescent="0.25">
      <c r="C836" s="23"/>
    </row>
    <row r="837" spans="3:3" x14ac:dyDescent="0.25">
      <c r="C837" s="23"/>
    </row>
    <row r="838" spans="3:3" x14ac:dyDescent="0.25">
      <c r="C838" s="23"/>
    </row>
    <row r="839" spans="3:3" x14ac:dyDescent="0.25">
      <c r="C839" s="23"/>
    </row>
    <row r="840" spans="3:3" x14ac:dyDescent="0.25">
      <c r="C840" s="23"/>
    </row>
    <row r="841" spans="3:3" x14ac:dyDescent="0.25">
      <c r="C841" s="23"/>
    </row>
    <row r="842" spans="3:3" x14ac:dyDescent="0.25">
      <c r="C842" s="23"/>
    </row>
    <row r="843" spans="3:3" x14ac:dyDescent="0.25">
      <c r="C843" s="23"/>
    </row>
    <row r="844" spans="3:3" x14ac:dyDescent="0.25">
      <c r="C844" s="23"/>
    </row>
    <row r="845" spans="3:3" x14ac:dyDescent="0.25">
      <c r="C845" s="23"/>
    </row>
    <row r="846" spans="3:3" x14ac:dyDescent="0.25">
      <c r="C846" s="23"/>
    </row>
    <row r="847" spans="3:3" x14ac:dyDescent="0.25">
      <c r="C847" s="23"/>
    </row>
    <row r="848" spans="3:3" x14ac:dyDescent="0.25">
      <c r="C848" s="23"/>
    </row>
    <row r="849" spans="3:3" x14ac:dyDescent="0.25">
      <c r="C849" s="23"/>
    </row>
    <row r="850" spans="3:3" x14ac:dyDescent="0.25">
      <c r="C850" s="23"/>
    </row>
    <row r="851" spans="3:3" x14ac:dyDescent="0.25">
      <c r="C851" s="23"/>
    </row>
    <row r="852" spans="3:3" x14ac:dyDescent="0.25">
      <c r="C852" s="23"/>
    </row>
    <row r="853" spans="3:3" x14ac:dyDescent="0.25">
      <c r="C853" s="23"/>
    </row>
    <row r="854" spans="3:3" x14ac:dyDescent="0.25">
      <c r="C854" s="23"/>
    </row>
    <row r="855" spans="3:3" x14ac:dyDescent="0.25">
      <c r="C855" s="23"/>
    </row>
    <row r="856" spans="3:3" x14ac:dyDescent="0.25">
      <c r="C856" s="23"/>
    </row>
    <row r="857" spans="3:3" x14ac:dyDescent="0.25">
      <c r="C857" s="23"/>
    </row>
    <row r="858" spans="3:3" x14ac:dyDescent="0.25">
      <c r="C858" s="23"/>
    </row>
    <row r="859" spans="3:3" x14ac:dyDescent="0.25">
      <c r="C859" s="23"/>
    </row>
    <row r="860" spans="3:3" x14ac:dyDescent="0.25">
      <c r="C860" s="23"/>
    </row>
    <row r="861" spans="3:3" x14ac:dyDescent="0.25">
      <c r="C861" s="23"/>
    </row>
    <row r="862" spans="3:3" x14ac:dyDescent="0.25">
      <c r="C862" s="23"/>
    </row>
    <row r="863" spans="3:3" x14ac:dyDescent="0.25">
      <c r="C863" s="23"/>
    </row>
    <row r="864" spans="3:3" x14ac:dyDescent="0.25">
      <c r="C864" s="23"/>
    </row>
    <row r="865" spans="3:3" x14ac:dyDescent="0.25">
      <c r="C865" s="23"/>
    </row>
    <row r="866" spans="3:3" x14ac:dyDescent="0.25">
      <c r="C866" s="23"/>
    </row>
    <row r="867" spans="3:3" x14ac:dyDescent="0.25">
      <c r="C867" s="23"/>
    </row>
    <row r="868" spans="3:3" x14ac:dyDescent="0.25">
      <c r="C868" s="23"/>
    </row>
    <row r="869" spans="3:3" x14ac:dyDescent="0.25">
      <c r="C869" s="23"/>
    </row>
    <row r="870" spans="3:3" x14ac:dyDescent="0.25">
      <c r="C870" s="23"/>
    </row>
    <row r="871" spans="3:3" x14ac:dyDescent="0.25">
      <c r="C871" s="23"/>
    </row>
    <row r="872" spans="3:3" x14ac:dyDescent="0.25">
      <c r="C872" s="23"/>
    </row>
    <row r="873" spans="3:3" x14ac:dyDescent="0.25">
      <c r="C873" s="23"/>
    </row>
    <row r="874" spans="3:3" x14ac:dyDescent="0.25">
      <c r="C874" s="23"/>
    </row>
    <row r="875" spans="3:3" x14ac:dyDescent="0.25">
      <c r="C875" s="23"/>
    </row>
    <row r="876" spans="3:3" x14ac:dyDescent="0.25">
      <c r="C876" s="23"/>
    </row>
    <row r="877" spans="3:3" x14ac:dyDescent="0.25">
      <c r="C877" s="23"/>
    </row>
    <row r="878" spans="3:3" x14ac:dyDescent="0.25">
      <c r="C878" s="23"/>
    </row>
    <row r="879" spans="3:3" x14ac:dyDescent="0.25">
      <c r="C879" s="23"/>
    </row>
    <row r="880" spans="3:3" x14ac:dyDescent="0.25">
      <c r="C880" s="23"/>
    </row>
    <row r="881" spans="3:3" x14ac:dyDescent="0.25">
      <c r="C881" s="23"/>
    </row>
    <row r="882" spans="3:3" x14ac:dyDescent="0.25">
      <c r="C882" s="23"/>
    </row>
    <row r="883" spans="3:3" x14ac:dyDescent="0.25">
      <c r="C883" s="23"/>
    </row>
    <row r="884" spans="3:3" x14ac:dyDescent="0.25">
      <c r="C884" s="23"/>
    </row>
    <row r="885" spans="3:3" x14ac:dyDescent="0.25">
      <c r="C885" s="23"/>
    </row>
    <row r="886" spans="3:3" x14ac:dyDescent="0.25">
      <c r="C886" s="23"/>
    </row>
    <row r="887" spans="3:3" x14ac:dyDescent="0.25">
      <c r="C887" s="23"/>
    </row>
    <row r="888" spans="3:3" x14ac:dyDescent="0.25">
      <c r="C888" s="23"/>
    </row>
    <row r="889" spans="3:3" x14ac:dyDescent="0.25">
      <c r="C889" s="23"/>
    </row>
    <row r="890" spans="3:3" x14ac:dyDescent="0.25">
      <c r="C890" s="23"/>
    </row>
    <row r="891" spans="3:3" x14ac:dyDescent="0.25">
      <c r="C891" s="23"/>
    </row>
    <row r="892" spans="3:3" x14ac:dyDescent="0.25">
      <c r="C892" s="23"/>
    </row>
    <row r="893" spans="3:3" x14ac:dyDescent="0.25">
      <c r="C893" s="23"/>
    </row>
    <row r="894" spans="3:3" x14ac:dyDescent="0.25">
      <c r="C894" s="23"/>
    </row>
    <row r="895" spans="3:3" x14ac:dyDescent="0.25">
      <c r="C895" s="23"/>
    </row>
    <row r="896" spans="3:3" x14ac:dyDescent="0.25">
      <c r="C896" s="23"/>
    </row>
    <row r="897" spans="3:3" x14ac:dyDescent="0.25">
      <c r="C897" s="23"/>
    </row>
    <row r="898" spans="3:3" x14ac:dyDescent="0.25">
      <c r="C898" s="23"/>
    </row>
    <row r="899" spans="3:3" x14ac:dyDescent="0.25">
      <c r="C899" s="23"/>
    </row>
    <row r="900" spans="3:3" x14ac:dyDescent="0.25">
      <c r="C900" s="23"/>
    </row>
    <row r="901" spans="3:3" x14ac:dyDescent="0.25">
      <c r="C901" s="23"/>
    </row>
    <row r="902" spans="3:3" x14ac:dyDescent="0.25">
      <c r="C902" s="23"/>
    </row>
    <row r="903" spans="3:3" x14ac:dyDescent="0.25">
      <c r="C903" s="23"/>
    </row>
    <row r="904" spans="3:3" x14ac:dyDescent="0.25">
      <c r="C904" s="23"/>
    </row>
    <row r="905" spans="3:3" x14ac:dyDescent="0.25">
      <c r="C905" s="23"/>
    </row>
    <row r="906" spans="3:3" x14ac:dyDescent="0.25">
      <c r="C906" s="23"/>
    </row>
    <row r="907" spans="3:3" x14ac:dyDescent="0.25">
      <c r="C907" s="23"/>
    </row>
    <row r="908" spans="3:3" x14ac:dyDescent="0.25">
      <c r="C908" s="23"/>
    </row>
    <row r="909" spans="3:3" x14ac:dyDescent="0.25">
      <c r="C909" s="23"/>
    </row>
    <row r="910" spans="3:3" x14ac:dyDescent="0.25">
      <c r="C910" s="23"/>
    </row>
    <row r="911" spans="3:3" x14ac:dyDescent="0.25">
      <c r="C911" s="23"/>
    </row>
    <row r="912" spans="3:3" x14ac:dyDescent="0.25">
      <c r="C912" s="23"/>
    </row>
    <row r="913" spans="3:3" x14ac:dyDescent="0.25">
      <c r="C913" s="23"/>
    </row>
    <row r="914" spans="3:3" x14ac:dyDescent="0.25">
      <c r="C914" s="23"/>
    </row>
    <row r="915" spans="3:3" x14ac:dyDescent="0.25">
      <c r="C915" s="23"/>
    </row>
    <row r="916" spans="3:3" x14ac:dyDescent="0.25">
      <c r="C916" s="23"/>
    </row>
    <row r="917" spans="3:3" x14ac:dyDescent="0.25">
      <c r="C917" s="23"/>
    </row>
    <row r="918" spans="3:3" x14ac:dyDescent="0.25">
      <c r="C918" s="23"/>
    </row>
    <row r="919" spans="3:3" x14ac:dyDescent="0.25">
      <c r="C919" s="23"/>
    </row>
    <row r="920" spans="3:3" x14ac:dyDescent="0.25">
      <c r="C920" s="23"/>
    </row>
    <row r="921" spans="3:3" x14ac:dyDescent="0.25">
      <c r="C921" s="23"/>
    </row>
    <row r="922" spans="3:3" x14ac:dyDescent="0.25">
      <c r="C922" s="23"/>
    </row>
    <row r="923" spans="3:3" x14ac:dyDescent="0.25">
      <c r="C923" s="23"/>
    </row>
    <row r="924" spans="3:3" x14ac:dyDescent="0.25">
      <c r="C924" s="23"/>
    </row>
    <row r="925" spans="3:3" x14ac:dyDescent="0.25">
      <c r="C925" s="23"/>
    </row>
    <row r="926" spans="3:3" x14ac:dyDescent="0.25">
      <c r="C926" s="23"/>
    </row>
    <row r="927" spans="3:3" x14ac:dyDescent="0.25">
      <c r="C927" s="23"/>
    </row>
    <row r="928" spans="3:3" x14ac:dyDescent="0.25">
      <c r="C928" s="23"/>
    </row>
    <row r="929" spans="3:3" x14ac:dyDescent="0.25">
      <c r="C929" s="23"/>
    </row>
    <row r="930" spans="3:3" x14ac:dyDescent="0.25">
      <c r="C930" s="23"/>
    </row>
    <row r="931" spans="3:3" x14ac:dyDescent="0.25">
      <c r="C931" s="23"/>
    </row>
    <row r="932" spans="3:3" x14ac:dyDescent="0.25">
      <c r="C932" s="23"/>
    </row>
    <row r="933" spans="3:3" x14ac:dyDescent="0.25">
      <c r="C933" s="23"/>
    </row>
    <row r="934" spans="3:3" x14ac:dyDescent="0.25">
      <c r="C934" s="23"/>
    </row>
    <row r="935" spans="3:3" x14ac:dyDescent="0.25">
      <c r="C935" s="23"/>
    </row>
    <row r="936" spans="3:3" x14ac:dyDescent="0.25">
      <c r="C936" s="23"/>
    </row>
    <row r="937" spans="3:3" x14ac:dyDescent="0.25">
      <c r="C937" s="23"/>
    </row>
    <row r="938" spans="3:3" x14ac:dyDescent="0.25">
      <c r="C938" s="23"/>
    </row>
    <row r="939" spans="3:3" x14ac:dyDescent="0.25">
      <c r="C939" s="23"/>
    </row>
    <row r="940" spans="3:3" x14ac:dyDescent="0.25">
      <c r="C940" s="23"/>
    </row>
    <row r="941" spans="3:3" x14ac:dyDescent="0.25">
      <c r="C941" s="23"/>
    </row>
    <row r="942" spans="3:3" x14ac:dyDescent="0.25">
      <c r="C942" s="23"/>
    </row>
    <row r="943" spans="3:3" x14ac:dyDescent="0.25">
      <c r="C943" s="23"/>
    </row>
    <row r="944" spans="3:3" x14ac:dyDescent="0.25">
      <c r="C944" s="23"/>
    </row>
    <row r="945" spans="3:3" x14ac:dyDescent="0.25">
      <c r="C945" s="23"/>
    </row>
    <row r="946" spans="3:3" x14ac:dyDescent="0.25">
      <c r="C946" s="23"/>
    </row>
    <row r="947" spans="3:3" x14ac:dyDescent="0.25">
      <c r="C947" s="23"/>
    </row>
    <row r="948" spans="3:3" x14ac:dyDescent="0.25">
      <c r="C948" s="23"/>
    </row>
    <row r="949" spans="3:3" x14ac:dyDescent="0.25">
      <c r="C949" s="23"/>
    </row>
    <row r="950" spans="3:3" x14ac:dyDescent="0.25">
      <c r="C950" s="23"/>
    </row>
    <row r="951" spans="3:3" x14ac:dyDescent="0.25">
      <c r="C951" s="23"/>
    </row>
    <row r="952" spans="3:3" x14ac:dyDescent="0.25">
      <c r="C952" s="23"/>
    </row>
    <row r="953" spans="3:3" x14ac:dyDescent="0.25">
      <c r="C953" s="23"/>
    </row>
    <row r="954" spans="3:3" x14ac:dyDescent="0.25">
      <c r="C954" s="23"/>
    </row>
    <row r="955" spans="3:3" x14ac:dyDescent="0.25">
      <c r="C955" s="23"/>
    </row>
    <row r="956" spans="3:3" x14ac:dyDescent="0.25">
      <c r="C956" s="23"/>
    </row>
    <row r="957" spans="3:3" x14ac:dyDescent="0.25">
      <c r="C957" s="23"/>
    </row>
    <row r="958" spans="3:3" x14ac:dyDescent="0.25">
      <c r="C958" s="23"/>
    </row>
    <row r="959" spans="3:3" x14ac:dyDescent="0.25">
      <c r="C959" s="23"/>
    </row>
    <row r="960" spans="3:3" x14ac:dyDescent="0.25">
      <c r="C960" s="23"/>
    </row>
    <row r="961" spans="3:3" x14ac:dyDescent="0.25">
      <c r="C961" s="23"/>
    </row>
    <row r="962" spans="3:3" x14ac:dyDescent="0.25">
      <c r="C962" s="23"/>
    </row>
    <row r="963" spans="3:3" x14ac:dyDescent="0.25">
      <c r="C963" s="23"/>
    </row>
    <row r="964" spans="3:3" x14ac:dyDescent="0.25">
      <c r="C964" s="23"/>
    </row>
    <row r="965" spans="3:3" x14ac:dyDescent="0.25">
      <c r="C965" s="23"/>
    </row>
    <row r="966" spans="3:3" x14ac:dyDescent="0.25">
      <c r="C966" s="23"/>
    </row>
    <row r="967" spans="3:3" x14ac:dyDescent="0.25">
      <c r="C967" s="23"/>
    </row>
    <row r="968" spans="3:3" x14ac:dyDescent="0.25">
      <c r="C968" s="23"/>
    </row>
    <row r="969" spans="3:3" x14ac:dyDescent="0.25">
      <c r="C969" s="23"/>
    </row>
    <row r="970" spans="3:3" x14ac:dyDescent="0.25">
      <c r="C970" s="23"/>
    </row>
    <row r="971" spans="3:3" x14ac:dyDescent="0.25">
      <c r="C971" s="23"/>
    </row>
    <row r="972" spans="3:3" x14ac:dyDescent="0.25">
      <c r="C972" s="23"/>
    </row>
    <row r="973" spans="3:3" x14ac:dyDescent="0.25">
      <c r="C973" s="23"/>
    </row>
    <row r="974" spans="3:3" x14ac:dyDescent="0.25">
      <c r="C974" s="23"/>
    </row>
    <row r="975" spans="3:3" x14ac:dyDescent="0.25">
      <c r="C975" s="23"/>
    </row>
    <row r="976" spans="3:3" x14ac:dyDescent="0.25">
      <c r="C976" s="23"/>
    </row>
    <row r="977" spans="3:3" x14ac:dyDescent="0.25">
      <c r="C977" s="23"/>
    </row>
    <row r="978" spans="3:3" x14ac:dyDescent="0.25">
      <c r="C978" s="23"/>
    </row>
    <row r="979" spans="3:3" x14ac:dyDescent="0.25">
      <c r="C979" s="23"/>
    </row>
    <row r="980" spans="3:3" x14ac:dyDescent="0.25">
      <c r="C980" s="23"/>
    </row>
    <row r="981" spans="3:3" x14ac:dyDescent="0.25">
      <c r="C981" s="23"/>
    </row>
    <row r="982" spans="3:3" x14ac:dyDescent="0.25">
      <c r="C982" s="23"/>
    </row>
    <row r="983" spans="3:3" x14ac:dyDescent="0.25">
      <c r="C983" s="23"/>
    </row>
    <row r="984" spans="3:3" x14ac:dyDescent="0.25">
      <c r="C984" s="23"/>
    </row>
    <row r="985" spans="3:3" x14ac:dyDescent="0.25">
      <c r="C985" s="23"/>
    </row>
    <row r="986" spans="3:3" x14ac:dyDescent="0.25">
      <c r="C986" s="23"/>
    </row>
    <row r="987" spans="3:3" x14ac:dyDescent="0.25">
      <c r="C987" s="23"/>
    </row>
    <row r="988" spans="3:3" x14ac:dyDescent="0.25">
      <c r="C988" s="23"/>
    </row>
    <row r="989" spans="3:3" x14ac:dyDescent="0.25">
      <c r="C989" s="23"/>
    </row>
    <row r="990" spans="3:3" x14ac:dyDescent="0.25">
      <c r="C990" s="23"/>
    </row>
    <row r="991" spans="3:3" x14ac:dyDescent="0.25">
      <c r="C991" s="23"/>
    </row>
    <row r="992" spans="3:3" x14ac:dyDescent="0.25">
      <c r="C992" s="23"/>
    </row>
    <row r="993" spans="3:3" x14ac:dyDescent="0.25">
      <c r="C993" s="23"/>
    </row>
    <row r="994" spans="3:3" x14ac:dyDescent="0.25">
      <c r="C994" s="23"/>
    </row>
    <row r="995" spans="3:3" x14ac:dyDescent="0.25">
      <c r="C995" s="23"/>
    </row>
    <row r="996" spans="3:3" x14ac:dyDescent="0.25">
      <c r="C996" s="23"/>
    </row>
    <row r="997" spans="3:3" x14ac:dyDescent="0.25">
      <c r="C997" s="23"/>
    </row>
    <row r="998" spans="3:3" x14ac:dyDescent="0.25">
      <c r="C998" s="23"/>
    </row>
    <row r="999" spans="3:3" x14ac:dyDescent="0.25">
      <c r="C999" s="23"/>
    </row>
    <row r="1000" spans="3:3" x14ac:dyDescent="0.25">
      <c r="C1000" s="23"/>
    </row>
  </sheetData>
  <mergeCells count="9">
    <mergeCell ref="P31:P32"/>
    <mergeCell ref="L8:L10"/>
    <mergeCell ref="M9:M10"/>
    <mergeCell ref="P8:P10"/>
    <mergeCell ref="Q9:Q10"/>
    <mergeCell ref="P20:P22"/>
    <mergeCell ref="Q21:Q22"/>
    <mergeCell ref="M21:M22"/>
    <mergeCell ref="L20:L22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7</vt:i4>
      </vt:variant>
    </vt:vector>
  </HeadingPairs>
  <TitlesOfParts>
    <vt:vector size="7" baseType="lpstr">
      <vt:lpstr>Amatőr Egyéni</vt:lpstr>
      <vt:lpstr>Amatőr csapat</vt:lpstr>
      <vt:lpstr>Női egyéni</vt:lpstr>
      <vt:lpstr>Női csapat</vt:lpstr>
      <vt:lpstr>Igazolt egyéni</vt:lpstr>
      <vt:lpstr>Igazolt csapat</vt:lpstr>
      <vt:lpstr>Legek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Whiskey</cp:lastModifiedBy>
  <dcterms:modified xsi:type="dcterms:W3CDTF">2018-12-16T17:10:53Z</dcterms:modified>
</cp:coreProperties>
</file>